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586" activeTab="0"/>
  </bookViews>
  <sheets>
    <sheet name="31.12.2014" sheetId="1" r:id="rId1"/>
  </sheets>
  <definedNames/>
  <calcPr fullCalcOnLoad="1"/>
</workbook>
</file>

<file path=xl/sharedStrings.xml><?xml version="1.0" encoding="utf-8"?>
<sst xmlns="http://schemas.openxmlformats.org/spreadsheetml/2006/main" count="356" uniqueCount="236">
  <si>
    <t>Площадь 25127,8 м2</t>
  </si>
  <si>
    <t>Поступило, руб.</t>
  </si>
  <si>
    <t>Израсходованно, руб.</t>
  </si>
  <si>
    <t>№п</t>
  </si>
  <si>
    <t>Запланированно, руб.</t>
  </si>
  <si>
    <t>Осталось, руб.</t>
  </si>
  <si>
    <t>Доходы:</t>
  </si>
  <si>
    <t>начисления за нежилые помещения, провайдеров и прочее</t>
  </si>
  <si>
    <t>Итого:</t>
  </si>
  <si>
    <t>Расходы:</t>
  </si>
  <si>
    <t>4.1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</si>
  <si>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</si>
  <si>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</si>
  <si>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</si>
  <si>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</si>
  <si>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</si>
  <si>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</si>
  <si>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</si>
  <si>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</si>
  <si>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</si>
  <si>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</si>
  <si>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</si>
  <si>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</si>
  <si>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4.2</t>
  </si>
  <si>
    <t>премиальный фонд, в т.ч. НДФЛ:</t>
  </si>
  <si>
    <t xml:space="preserve">декабрь </t>
  </si>
  <si>
    <t>4.3</t>
  </si>
  <si>
    <t>договора оказания услуг (физ.лица), в т.ч. НДФЛ</t>
  </si>
  <si>
    <t>4.4</t>
  </si>
  <si>
    <t>декабрь</t>
  </si>
  <si>
    <t>налоги при УСН (доходы-расходы 15 %)</t>
  </si>
  <si>
    <t>1 квартал</t>
  </si>
  <si>
    <t>4.5</t>
  </si>
  <si>
    <t>услуги банка:</t>
  </si>
  <si>
    <t>4.6</t>
  </si>
  <si>
    <t>связь:</t>
  </si>
  <si>
    <t>январь ростелеком</t>
  </si>
  <si>
    <t>февраль ростелеком</t>
  </si>
  <si>
    <t>февраль сотовый</t>
  </si>
  <si>
    <t>март ростелеком</t>
  </si>
  <si>
    <t>март сотовый</t>
  </si>
  <si>
    <t>апрель ростелеком</t>
  </si>
  <si>
    <t>май сотовый</t>
  </si>
  <si>
    <t>май ростелеком</t>
  </si>
  <si>
    <t>июнь ростелеком</t>
  </si>
  <si>
    <t>июнь сотовый</t>
  </si>
  <si>
    <t>июль сотовый</t>
  </si>
  <si>
    <t>август ростелеком</t>
  </si>
  <si>
    <t>август сотовый</t>
  </si>
  <si>
    <t>октябрь сотовый</t>
  </si>
  <si>
    <t>октябрь ростелеком</t>
  </si>
  <si>
    <t>ноябрь сотовый</t>
  </si>
  <si>
    <t>ноябрь ростелеком</t>
  </si>
  <si>
    <t>декабрь ростелеком</t>
  </si>
  <si>
    <t>4.7</t>
  </si>
  <si>
    <t>услуги аварийной службы:</t>
  </si>
  <si>
    <t>4.8</t>
  </si>
  <si>
    <t>хозтовары, инвентарь:</t>
  </si>
  <si>
    <t>4.9</t>
  </si>
  <si>
    <t>канцтовары, обслуживание оргтехники:</t>
  </si>
  <si>
    <t>бумага</t>
  </si>
  <si>
    <t>4.10</t>
  </si>
  <si>
    <t>вывоз КГО</t>
  </si>
  <si>
    <t>4.11</t>
  </si>
  <si>
    <t>дератизация</t>
  </si>
  <si>
    <t>4.12</t>
  </si>
  <si>
    <t>юридические услуги:</t>
  </si>
  <si>
    <t>4.13</t>
  </si>
  <si>
    <t>услуги ИВЦ "Северный"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</si>
  <si>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</si>
  <si>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</si>
  <si>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</si>
  <si>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</si>
  <si>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</si>
  <si>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Замена разбитых стекол окон и дверей в подъездах</t>
  </si>
  <si>
    <t>Приведение подвалов и тех.этажей в санитарно-техническое состояние</t>
  </si>
  <si>
    <t>Благоустройство дворовой территории.</t>
  </si>
  <si>
    <t>Утилизация энергосберегающих ламп</t>
  </si>
  <si>
    <t>Очистка и покраска бордюров</t>
  </si>
  <si>
    <t>Побелка деревьев</t>
  </si>
  <si>
    <t>Непредвиденные расходы</t>
  </si>
  <si>
    <t>Итого израсходованно по статьям</t>
  </si>
  <si>
    <t>Остаток п/отчета</t>
  </si>
  <si>
    <t>Главный бухгалтер</t>
  </si>
  <si>
    <t>начисления за содержание и ремонт жилья</t>
  </si>
  <si>
    <t>Частичная замена труб горячего и холодного водоснабжения, отопления, устранение хомутов и свищей на трубопроводах</t>
  </si>
  <si>
    <t>Приобретение аппарата прочистки системы канализации</t>
  </si>
  <si>
    <t>Ремонт межпанельных швов</t>
  </si>
  <si>
    <t>Приобретение огнетушителей</t>
  </si>
  <si>
    <t>Ямочный ремонт асфальтового покрытия дворового покрытия дворовой территории S= кв.м</t>
  </si>
  <si>
    <t>Изготовление, установка и покраска ограждений у п. № 3</t>
  </si>
  <si>
    <t>Приобретение мусорного контейнера</t>
  </si>
  <si>
    <t>Покраска мусорных контейнеров</t>
  </si>
  <si>
    <t>Завоз песка для посыпки тротуаров в зимнее время года и для приведения подвалов в санитарно-техническое состояние</t>
  </si>
  <si>
    <t>Завоз  чернозема</t>
  </si>
  <si>
    <t>Проведение праздника двора: к Дню защиты детей, 1 сентября, к Новому году</t>
  </si>
  <si>
    <t>январь сотовая</t>
  </si>
  <si>
    <t>услуги почтовой связи</t>
  </si>
  <si>
    <t>Покупка рассады цветов, саженцев деревьев, кустарников, материалы для ухода за зелеными насаждениями</t>
  </si>
  <si>
    <t>Денежные средства</t>
  </si>
  <si>
    <t>Отчисления во внебюджетные фонды</t>
  </si>
  <si>
    <t>июль ростелеком</t>
  </si>
  <si>
    <t>Ковалева Л.И.</t>
  </si>
  <si>
    <t>1 полугодие</t>
  </si>
  <si>
    <t>перчатки</t>
  </si>
  <si>
    <t>апрель сотовый</t>
  </si>
  <si>
    <t>Ремонт мягкой кровли</t>
  </si>
  <si>
    <t>Тариф 9,35 руб./кв.м</t>
  </si>
  <si>
    <t>отпуск.</t>
  </si>
  <si>
    <t>Кашаев(ремонт стояка ГВС в перекрытии), Гладнев(снятие показаний эл.сч), Сазонова (замещение председателя), Лукьянова (контролер)</t>
  </si>
  <si>
    <t>Тамбовцев Г.И. (монтаж приспособл. для опломбировки эл.сч.)</t>
  </si>
  <si>
    <t>Налог УСН за 2013 г.</t>
  </si>
  <si>
    <t>транспортные расходы</t>
  </si>
  <si>
    <t>4.14</t>
  </si>
  <si>
    <t>4.15</t>
  </si>
  <si>
    <t>страхование лифтов, ответственности</t>
  </si>
  <si>
    <t>4.16</t>
  </si>
  <si>
    <t>пособие по уходу за ребенком до 1,5 лет</t>
  </si>
  <si>
    <t>4.17</t>
  </si>
  <si>
    <t>электронный паспорт МКД</t>
  </si>
  <si>
    <t>т.ч. работа в праздн.дни</t>
  </si>
  <si>
    <t>т.ч. отпуск.</t>
  </si>
  <si>
    <t>4.18</t>
  </si>
  <si>
    <t>возмещение расходов на пособия по социальному страхованию</t>
  </si>
  <si>
    <t>Водопроводная сеть. Ревизия, ремонт, замена запорной арматуры для холодного водоснабжения, горячего водоснабжения в подвалах подъездов</t>
  </si>
  <si>
    <t>Ревизия, ремонт, частичная замена запорной арматуры трубопроводов отопления</t>
  </si>
  <si>
    <t>5.19</t>
  </si>
  <si>
    <t>5.19.1</t>
  </si>
  <si>
    <t>5.19.2</t>
  </si>
  <si>
    <t>5.19.3</t>
  </si>
  <si>
    <t>Замена задвижек (кранов шаровых, фланцевых) на подающем трубопроводе D50 в под. №1-8</t>
  </si>
  <si>
    <t>5.19.4</t>
  </si>
  <si>
    <t>Замена вводной задвижки холодного водоснабжения D100 и трубопровода от задвижки до стены дома</t>
  </si>
  <si>
    <t>5.19.5</t>
  </si>
  <si>
    <t>5.19.6</t>
  </si>
  <si>
    <t>5.19.7</t>
  </si>
  <si>
    <t>Восстановление теплоизоляции на трубопроводах отопления и ГВС</t>
  </si>
  <si>
    <t>5.20</t>
  </si>
  <si>
    <t>5.20.1</t>
  </si>
  <si>
    <t>Демонтаж и установка квартирных электросчетчиков в электрощитовых на лестничных площадках</t>
  </si>
  <si>
    <t>5.20.2</t>
  </si>
  <si>
    <t>Приобретение предохранителей пакетных переключателей вводно-распределительных щитов и устройств</t>
  </si>
  <si>
    <t>5.20.3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</si>
  <si>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</si>
  <si>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5.21</t>
  </si>
  <si>
    <t>5.21.1</t>
  </si>
  <si>
    <t>5.21.2</t>
  </si>
  <si>
    <t>Ремонт половой плитки в подъездах 3,5,6,8</t>
  </si>
  <si>
    <t>5.21.3</t>
  </si>
  <si>
    <t>Косметический ремонт входной группы подъездов 3,7,8</t>
  </si>
  <si>
    <t>5.21.4</t>
  </si>
  <si>
    <t>5.21.5</t>
  </si>
  <si>
    <t>5.21.6</t>
  </si>
  <si>
    <t>5.21.7</t>
  </si>
  <si>
    <t>5.21.8</t>
  </si>
  <si>
    <t>5.21.9</t>
  </si>
  <si>
    <t>Установка стеклопакета в офисе ТСЖ</t>
  </si>
  <si>
    <t>5.22</t>
  </si>
  <si>
    <t>5.22.1</t>
  </si>
  <si>
    <t>5.22.2</t>
  </si>
  <si>
    <t>5.22.3</t>
  </si>
  <si>
    <t>5.22.4</t>
  </si>
  <si>
    <t>Бетонирование площадки под КГМ</t>
  </si>
  <si>
    <t>5.22.5</t>
  </si>
  <si>
    <t>5.22.6</t>
  </si>
  <si>
    <t>5.22.7</t>
  </si>
  <si>
    <t>5.22.8</t>
  </si>
  <si>
    <t>5.22.9</t>
  </si>
  <si>
    <t>5.22.10</t>
  </si>
  <si>
    <t>5.22.11</t>
  </si>
  <si>
    <t>5.23</t>
  </si>
  <si>
    <t>6.24</t>
  </si>
  <si>
    <t>ручки, клей, корректор, скрепки</t>
  </si>
  <si>
    <t>соль</t>
  </si>
  <si>
    <t>заправка картриджа</t>
  </si>
  <si>
    <t>Кравчук(ревизия)</t>
  </si>
  <si>
    <t>бланки</t>
  </si>
  <si>
    <t>перчатки, смс</t>
  </si>
  <si>
    <t>Входящий остаток на 01.01.2014г., руб.</t>
  </si>
  <si>
    <t>Осталось на 31.10.2014г., руб.</t>
  </si>
  <si>
    <t>т.ч. Отпуск.</t>
  </si>
  <si>
    <t>т.ч. отпуск., работа в праздн.дни</t>
  </si>
  <si>
    <t>т.ч.отпуск., работа в праздн.дни</t>
  </si>
  <si>
    <t>отпуск., работа в вых.</t>
  </si>
  <si>
    <t>Червиченко(электрик)</t>
  </si>
  <si>
    <t>Остекление и закрытие слуховых окон в подвалах</t>
  </si>
  <si>
    <t>лицензия антивирус</t>
  </si>
  <si>
    <t>замена несущих канатов лифтов</t>
  </si>
  <si>
    <t>обновл-е 1С</t>
  </si>
  <si>
    <t>пени</t>
  </si>
  <si>
    <t>сентябрь ростелеком</t>
  </si>
  <si>
    <t>сентябрь сотовый</t>
  </si>
  <si>
    <t>спецодежда, холодная сварка, патрон для дрели</t>
  </si>
  <si>
    <t>смс, перчатки, эмаль, колер, кисти</t>
  </si>
  <si>
    <t>газонокосилка, бензин для газонокосилки, смс, замок</t>
  </si>
  <si>
    <t>блок для швабры</t>
  </si>
  <si>
    <t>смс, ключ, замок навесн.</t>
  </si>
  <si>
    <t>бумага, скоросшиватели, ластики</t>
  </si>
  <si>
    <t>бумага, корректор, стержни, скрепки</t>
  </si>
  <si>
    <t>папки, бумага д/факса, заправка картриджа, замена барабана</t>
  </si>
  <si>
    <t>перчатки, блоки к швабре, смс, цемент, эмаль, кисть</t>
  </si>
  <si>
    <t>кран шаровый d50 (8шт)</t>
  </si>
  <si>
    <t>Кокин(ремонт стояка ГВС в подвале п.8, в квартире), приемка узла учета воды, кран шаровый, труба, хомуты, круг отрезн., отводы, пакля, резьба,муфты, контргайки, задвижки</t>
  </si>
  <si>
    <t>ИП Стадников</t>
  </si>
  <si>
    <t>компенс. Неисп.отп.</t>
  </si>
  <si>
    <t>Маслов(сварочные работы в п.7); Кашаев(свар.работы на трубопр. отпл. в подвале п.8), замена арматуры, заглушки, штуцер для компрессора, регулятор давления, резьба, сгоны. Тамбовцев(замена сгонной резьбы на2эт.2 под.)</t>
  </si>
  <si>
    <t>Кокин(замена трубы на тех.этаже), отводы, трубы. Тамбовцев(устранение свища на ХВ в кв.269)</t>
  </si>
  <si>
    <t>отпускн., работа в праздн.дни</t>
  </si>
  <si>
    <t>отпуск., замещение</t>
  </si>
  <si>
    <t>Лукьянова(контролер), уборка снега с проезж.части</t>
  </si>
  <si>
    <t>побелка д/деревьев, кисти</t>
  </si>
  <si>
    <t>луковицы</t>
  </si>
  <si>
    <t>маркеры, смс, ключи</t>
  </si>
  <si>
    <t>декабрь сотовый</t>
  </si>
  <si>
    <t>ремонт газонокосилки, спецодежда</t>
  </si>
  <si>
    <t>упор дверн.,бензин в газонокос., канистра,кисть, сварочн. аппарат, смс, замок, пирометр</t>
  </si>
  <si>
    <t>папки, стержни, мышь, роутер, смартфон, ноутбук, установка 1С</t>
  </si>
  <si>
    <t>секции ограждения</t>
  </si>
  <si>
    <t>антивирус, аванс за обсл-е 1С</t>
  </si>
  <si>
    <t>составл.процессуальн.док-тов, конс-ция</t>
  </si>
  <si>
    <t>Возвращенные на р/с</t>
  </si>
  <si>
    <t>Поступило на р/с, руб.</t>
  </si>
  <si>
    <t>Списано с р/с, руб.</t>
  </si>
  <si>
    <t>Федоров(земляные работы), ИП Яньшин (экскаватор), РВК (отключение водопровода, открытие-закрытие задвижки д200-300, замена задвижки), материалы, услуги по сварке ПЭ</t>
  </si>
  <si>
    <t>Кокин(ремонт стояка ГВС в подвале п.8, в квартире),</t>
  </si>
  <si>
    <t>лампы, метки, сверла, пластилин, лампы энергосберегающие</t>
  </si>
  <si>
    <t>Тамбовцев(ремонт ограждений у п.8).</t>
  </si>
  <si>
    <t>Отчет по смете доходов и расходов ТСЖ "Московский 94" на 31.12.2014 г.</t>
  </si>
  <si>
    <t>Компенсация стоимости эл.счетчиков</t>
  </si>
  <si>
    <t>возврат переплаты</t>
  </si>
  <si>
    <t>утеплитель ТермаЭКО, клей</t>
  </si>
  <si>
    <t>работы ООО"Спецэнергоконтроль"(в т.ч. Компенсируемая стоимость эл.счетчиков 141620,00)</t>
  </si>
  <si>
    <t>электроэн-ия МОП</t>
  </si>
  <si>
    <t>водоснабжение ОДН</t>
  </si>
  <si>
    <t>За трубы PPRC (полипропиленовые)</t>
  </si>
  <si>
    <t>обновл-е 1С, ручки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</si>
</sst>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0" fillId="35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49" fontId="0" fillId="36" borderId="11" xfId="0" applyNumberFormat="1" applyFont="1" applyFill="1" applyBorder="1" applyAlignment="1">
      <alignment horizontal="right"/>
    </xf>
    <xf numFmtId="2" fontId="0" fillId="34" borderId="11" xfId="0" applyNumberFormat="1" applyFill="1" applyBorder="1" applyAlignment="1">
      <alignment wrapText="1"/>
    </xf>
    <xf numFmtId="2" fontId="0" fillId="33" borderId="11" xfId="0" applyNumberFormat="1" applyFill="1" applyBorder="1" applyAlignment="1">
      <alignment wrapText="1"/>
    </xf>
    <xf numFmtId="2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6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3" fillId="37" borderId="12" xfId="0" applyNumberFormat="1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0" fillId="37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7" borderId="11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4" fontId="0" fillId="34" borderId="11" xfId="0" applyNumberFormat="1" applyFont="1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wrapText="1"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8" borderId="11" xfId="0" applyFill="1" applyBorder="1" applyAlignment="1">
      <alignment/>
    </xf>
    <xf numFmtId="0" fontId="3" fillId="38" borderId="11" xfId="0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/>
    </xf>
    <xf numFmtId="4" fontId="37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8" borderId="11" xfId="0" applyFill="1" applyBorder="1" applyAlignment="1">
      <alignment horizontal="right"/>
    </xf>
    <xf numFmtId="4" fontId="0" fillId="34" borderId="14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4" fontId="3" fillId="39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wrapText="1"/>
    </xf>
    <xf numFmtId="2" fontId="37" fillId="34" borderId="11" xfId="0" applyNumberFormat="1" applyFont="1" applyFill="1" applyBorder="1" applyAlignment="1">
      <alignment/>
    </xf>
    <xf numFmtId="2" fontId="37" fillId="37" borderId="11" xfId="0" applyNumberFormat="1" applyFont="1" applyFill="1" applyBorder="1" applyAlignment="1">
      <alignment/>
    </xf>
    <xf numFmtId="4" fontId="47" fillId="34" borderId="11" xfId="0" applyNumberFormat="1" applyFont="1" applyFill="1" applyBorder="1" applyAlignment="1">
      <alignment/>
    </xf>
    <xf numFmtId="4" fontId="48" fillId="34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0" fontId="0" fillId="0" borderId="0" xfId="0" applyAlignment="1">
      <alignment wrapText="1"/>
    </xf>
    <xf numFmtId="49" fontId="37" fillId="36" borderId="11" xfId="0" applyNumberFormat="1" applyFont="1" applyFill="1" applyBorder="1" applyAlignment="1">
      <alignment horizontal="right"/>
    </xf>
    <xf numFmtId="4" fontId="49" fillId="33" borderId="11" xfId="0" applyNumberFormat="1" applyFont="1" applyFill="1" applyBorder="1" applyAlignment="1">
      <alignment wrapText="1"/>
    </xf>
    <xf numFmtId="2" fontId="50" fillId="33" borderId="11" xfId="0" applyNumberFormat="1" applyFont="1" applyFill="1" applyBorder="1" applyAlignment="1">
      <alignment wrapText="1"/>
    </xf>
    <xf numFmtId="2" fontId="49" fillId="33" borderId="11" xfId="0" applyNumberFormat="1" applyFont="1" applyFill="1" applyBorder="1" applyAlignment="1">
      <alignment/>
    </xf>
    <xf numFmtId="2" fontId="49" fillId="33" borderId="11" xfId="0" applyNumberFormat="1" applyFont="1" applyFill="1" applyBorder="1" applyAlignment="1">
      <alignment wrapText="1"/>
    </xf>
    <xf numFmtId="4" fontId="37" fillId="37" borderId="12" xfId="0" applyNumberFormat="1" applyFont="1" applyFill="1" applyBorder="1" applyAlignment="1">
      <alignment/>
    </xf>
    <xf numFmtId="2" fontId="37" fillId="33" borderId="11" xfId="0" applyNumberFormat="1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9"/>
  <sheetViews>
    <sheetView tabSelected="1" zoomScalePageLayoutView="0" workbookViewId="0" topLeftCell="A141">
      <selection activeCell="E250" sqref="E250"/>
    </sheetView>
  </sheetViews>
  <sheetFormatPr defaultColWidth="9.140625" defaultRowHeight="15"/>
  <cols>
    <col min="2" max="2" width="41.281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29" customWidth="1"/>
    <col min="7" max="7" width="9.57421875" style="0" customWidth="1"/>
    <col min="8" max="9" width="10.57421875" style="0" customWidth="1"/>
  </cols>
  <sheetData>
    <row r="1" spans="1:6" ht="50.25" customHeight="1">
      <c r="A1" s="92" t="s">
        <v>227</v>
      </c>
      <c r="B1" s="92"/>
      <c r="C1" s="92"/>
      <c r="D1" s="92"/>
      <c r="E1" s="92"/>
      <c r="F1" s="92"/>
    </row>
    <row r="2" spans="1:6" ht="15">
      <c r="A2" s="93" t="s">
        <v>0</v>
      </c>
      <c r="B2" s="93"/>
      <c r="C2" s="1"/>
      <c r="D2" s="94" t="s">
        <v>107</v>
      </c>
      <c r="E2" s="94"/>
      <c r="F2" s="94"/>
    </row>
    <row r="3" spans="1:6" ht="51.75">
      <c r="A3" s="2"/>
      <c r="B3" s="2"/>
      <c r="C3" s="3" t="s">
        <v>178</v>
      </c>
      <c r="D3" s="4" t="s">
        <v>221</v>
      </c>
      <c r="E3" s="5" t="s">
        <v>222</v>
      </c>
      <c r="F3" s="4" t="s">
        <v>179</v>
      </c>
    </row>
    <row r="4" spans="1:6" ht="17.25" customHeight="1">
      <c r="A4" s="6">
        <v>1</v>
      </c>
      <c r="B4" s="2" t="s">
        <v>99</v>
      </c>
      <c r="C4" s="30">
        <v>185207.22</v>
      </c>
      <c r="D4" s="30">
        <v>3516545.07</v>
      </c>
      <c r="E4" s="31">
        <v>3546852.41</v>
      </c>
      <c r="F4" s="74">
        <f>C4+D4-E4</f>
        <v>154899.8799999999</v>
      </c>
    </row>
    <row r="5" spans="1:6" ht="17.25" customHeight="1">
      <c r="A5" s="71"/>
      <c r="B5" s="62"/>
      <c r="C5" s="63"/>
      <c r="D5" s="64"/>
      <c r="E5" s="65"/>
      <c r="F5" s="64"/>
    </row>
    <row r="6" spans="1:7" ht="39" customHeight="1">
      <c r="A6" s="4" t="s">
        <v>3</v>
      </c>
      <c r="B6" s="7"/>
      <c r="C6" s="7"/>
      <c r="D6" s="7" t="s">
        <v>4</v>
      </c>
      <c r="E6" s="8" t="s">
        <v>1</v>
      </c>
      <c r="F6" s="7" t="s">
        <v>5</v>
      </c>
      <c r="G6" s="9"/>
    </row>
    <row r="7" spans="1:9" ht="15.75">
      <c r="A7" s="6"/>
      <c r="B7" s="10" t="s">
        <v>6</v>
      </c>
      <c r="C7" s="10"/>
      <c r="D7" s="36"/>
      <c r="E7" s="36"/>
      <c r="F7" s="36"/>
      <c r="I7" s="9"/>
    </row>
    <row r="8" spans="1:6" ht="30">
      <c r="A8" s="6">
        <v>1</v>
      </c>
      <c r="B8" s="44" t="s">
        <v>84</v>
      </c>
      <c r="C8" s="2"/>
      <c r="D8" s="67">
        <f>2818778-141620</f>
        <v>2677158</v>
      </c>
      <c r="E8" s="67">
        <f>3200430.45-141620</f>
        <v>3058810.45</v>
      </c>
      <c r="F8" s="30">
        <f>D8-E8</f>
        <v>-381652.4500000002</v>
      </c>
    </row>
    <row r="9" spans="1:6" ht="15">
      <c r="A9" s="6">
        <v>2</v>
      </c>
      <c r="B9" s="44" t="s">
        <v>228</v>
      </c>
      <c r="C9" s="2"/>
      <c r="D9" s="67">
        <v>141620</v>
      </c>
      <c r="E9" s="68">
        <v>141620</v>
      </c>
      <c r="F9" s="30">
        <f>D9-E9</f>
        <v>0</v>
      </c>
    </row>
    <row r="10" spans="1:9" ht="30">
      <c r="A10" s="6">
        <v>3</v>
      </c>
      <c r="B10" s="14" t="s">
        <v>7</v>
      </c>
      <c r="C10" s="14"/>
      <c r="D10" s="67">
        <v>227472</v>
      </c>
      <c r="E10" s="68">
        <f>188911.33+23386.05</f>
        <v>212297.37999999998</v>
      </c>
      <c r="F10" s="30">
        <f>C10+D10-E10</f>
        <v>15174.620000000024</v>
      </c>
      <c r="I10" s="9"/>
    </row>
    <row r="11" spans="1:9" ht="30">
      <c r="A11" s="6">
        <v>4</v>
      </c>
      <c r="B11" s="14" t="s">
        <v>123</v>
      </c>
      <c r="C11" s="14"/>
      <c r="D11" s="67"/>
      <c r="E11" s="68">
        <v>93906.24</v>
      </c>
      <c r="F11" s="30"/>
      <c r="I11" s="9"/>
    </row>
    <row r="12" spans="1:9" ht="15">
      <c r="A12" s="6">
        <v>5</v>
      </c>
      <c r="B12" s="14" t="s">
        <v>229</v>
      </c>
      <c r="C12" s="14"/>
      <c r="D12" s="67"/>
      <c r="E12" s="68">
        <f>3000+6911</f>
        <v>9911</v>
      </c>
      <c r="F12" s="30"/>
      <c r="I12" s="9"/>
    </row>
    <row r="13" spans="1:9" ht="15">
      <c r="A13" s="6"/>
      <c r="B13" s="15" t="s">
        <v>8</v>
      </c>
      <c r="C13" s="15"/>
      <c r="D13" s="79">
        <f>SUM(D8:D11)</f>
        <v>3046250</v>
      </c>
      <c r="E13" s="79">
        <f>SUM(E8:E12)</f>
        <v>3516545.0700000003</v>
      </c>
      <c r="F13" s="79">
        <f>SUM(F8:F11)</f>
        <v>-366477.8300000002</v>
      </c>
      <c r="G13" s="61"/>
      <c r="I13" s="9"/>
    </row>
    <row r="14" spans="1:9" ht="15">
      <c r="A14" s="4" t="s">
        <v>3</v>
      </c>
      <c r="B14" s="4"/>
      <c r="C14" s="4"/>
      <c r="D14" s="69" t="s">
        <v>4</v>
      </c>
      <c r="E14" s="70" t="s">
        <v>2</v>
      </c>
      <c r="F14" s="7" t="s">
        <v>5</v>
      </c>
      <c r="I14" s="9"/>
    </row>
    <row r="15" spans="1:9" ht="15.75">
      <c r="A15" s="6">
        <v>4</v>
      </c>
      <c r="B15" s="10" t="s">
        <v>9</v>
      </c>
      <c r="C15" s="10"/>
      <c r="D15" s="11"/>
      <c r="E15" s="12"/>
      <c r="F15" s="13"/>
      <c r="I15" s="9"/>
    </row>
    <row r="16" spans="1:12" ht="15">
      <c r="A16" s="17" t="s">
        <v>10</v>
      </c>
      <c r="B16" s="18" t="s">
        <v>11</v>
      </c>
      <c r="C16" s="37"/>
      <c r="D16" s="37">
        <v>1271400</v>
      </c>
      <c r="E16" s="38">
        <f>SUM(E17:E28)</f>
        <v>1269099.91</v>
      </c>
      <c r="F16" s="37">
        <f>D16-E16</f>
        <v>2300.090000000084</v>
      </c>
      <c r="L16" s="16"/>
    </row>
    <row r="17" spans="1:8" ht="15">
      <c r="A17" s="20"/>
      <c r="B17" s="2" t="s">
        <v>12</v>
      </c>
      <c r="C17" s="35"/>
      <c r="D17" s="32"/>
      <c r="E17" s="39">
        <f>115243.84-5153.24-4598</f>
        <v>105492.59999999999</v>
      </c>
      <c r="F17" s="35" t="s">
        <v>120</v>
      </c>
      <c r="H17" s="9"/>
    </row>
    <row r="18" spans="1:6" ht="15">
      <c r="A18" s="20"/>
      <c r="B18" s="2" t="s">
        <v>13</v>
      </c>
      <c r="C18" s="35"/>
      <c r="D18" s="33"/>
      <c r="E18" s="39">
        <f>113017.33-9280-5153.24</f>
        <v>98584.09</v>
      </c>
      <c r="F18" s="35"/>
    </row>
    <row r="19" spans="1:6" ht="15">
      <c r="A19" s="20"/>
      <c r="B19" s="2" t="s">
        <v>14</v>
      </c>
      <c r="C19" s="35"/>
      <c r="D19" s="33"/>
      <c r="E19" s="39">
        <f>3663.27+92400+5546.25</f>
        <v>101609.52</v>
      </c>
      <c r="F19" s="35" t="s">
        <v>121</v>
      </c>
    </row>
    <row r="20" spans="1:10" ht="15">
      <c r="A20" s="20"/>
      <c r="B20" s="2" t="s">
        <v>15</v>
      </c>
      <c r="C20" s="35"/>
      <c r="D20" s="33"/>
      <c r="E20" s="39">
        <f>6637.64+89527.27+5339.77</f>
        <v>101504.68000000001</v>
      </c>
      <c r="F20" s="35" t="s">
        <v>180</v>
      </c>
      <c r="I20" s="9"/>
      <c r="J20" s="9"/>
    </row>
    <row r="21" spans="1:8" ht="15">
      <c r="A21" s="20"/>
      <c r="B21" s="2" t="s">
        <v>16</v>
      </c>
      <c r="C21" s="35"/>
      <c r="D21" s="33"/>
      <c r="E21" s="39">
        <f>82115.79+24724.81</f>
        <v>106840.59999999999</v>
      </c>
      <c r="F21" s="45" t="s">
        <v>181</v>
      </c>
      <c r="H21" s="9"/>
    </row>
    <row r="22" spans="1:6" ht="15">
      <c r="A22" s="20"/>
      <c r="B22" s="2" t="s">
        <v>17</v>
      </c>
      <c r="C22" s="35"/>
      <c r="D22" s="33"/>
      <c r="E22" s="39">
        <f>89484.21+38229.92</f>
        <v>127714.13</v>
      </c>
      <c r="F22" s="45" t="s">
        <v>182</v>
      </c>
    </row>
    <row r="23" spans="1:9" ht="15">
      <c r="A23" s="20"/>
      <c r="B23" s="2" t="s">
        <v>18</v>
      </c>
      <c r="C23" s="35"/>
      <c r="D23" s="33"/>
      <c r="E23" s="39">
        <f>139345.39-8959.43-2874-17241-5153.24</f>
        <v>105117.72000000002</v>
      </c>
      <c r="F23" s="45" t="s">
        <v>108</v>
      </c>
      <c r="I23" s="9"/>
    </row>
    <row r="24" spans="1:6" ht="15">
      <c r="A24" s="20"/>
      <c r="B24" s="2" t="s">
        <v>19</v>
      </c>
      <c r="C24" s="35"/>
      <c r="D24" s="33"/>
      <c r="E24" s="39">
        <f>122190.52-11396.62-5153.24-6897</f>
        <v>98743.66</v>
      </c>
      <c r="F24" s="45" t="s">
        <v>183</v>
      </c>
    </row>
    <row r="25" spans="1:6" ht="15">
      <c r="A25" s="20"/>
      <c r="B25" s="2" t="s">
        <v>20</v>
      </c>
      <c r="C25" s="35"/>
      <c r="D25" s="33"/>
      <c r="E25" s="39">
        <f>127801.74-3161-4828-3770-5153.24-14429</f>
        <v>96460.5</v>
      </c>
      <c r="F25" s="45"/>
    </row>
    <row r="26" spans="1:7" ht="15">
      <c r="A26" s="20"/>
      <c r="B26" s="2" t="s">
        <v>21</v>
      </c>
      <c r="C26" s="35"/>
      <c r="D26" s="33"/>
      <c r="E26" s="39">
        <f>88463.04+17014.19</f>
        <v>105477.23</v>
      </c>
      <c r="F26" s="45" t="s">
        <v>204</v>
      </c>
      <c r="G26" s="16"/>
    </row>
    <row r="27" spans="1:7" ht="15">
      <c r="A27" s="20"/>
      <c r="B27" s="2" t="s">
        <v>22</v>
      </c>
      <c r="C27" s="35"/>
      <c r="D27" s="33"/>
      <c r="E27" s="39">
        <f>102145.56+7241.66</f>
        <v>109387.22</v>
      </c>
      <c r="F27" s="45" t="s">
        <v>207</v>
      </c>
      <c r="G27" s="16"/>
    </row>
    <row r="28" spans="1:7" ht="15">
      <c r="A28" s="20"/>
      <c r="B28" s="2" t="s">
        <v>29</v>
      </c>
      <c r="C28" s="35"/>
      <c r="D28" s="33"/>
      <c r="E28" s="39">
        <f>10399.62+2528.12+60800+38440.22</f>
        <v>112167.96</v>
      </c>
      <c r="F28" s="45" t="s">
        <v>208</v>
      </c>
      <c r="G28" s="16"/>
    </row>
    <row r="29" spans="1:7" ht="15">
      <c r="A29" s="17" t="s">
        <v>23</v>
      </c>
      <c r="B29" s="18" t="s">
        <v>24</v>
      </c>
      <c r="C29" s="37"/>
      <c r="D29" s="37">
        <v>260802</v>
      </c>
      <c r="E29" s="38">
        <f>SUM(E30:E41)</f>
        <v>136526.05</v>
      </c>
      <c r="F29" s="37">
        <f>D29-E29</f>
        <v>124275.95000000001</v>
      </c>
      <c r="G29" s="16"/>
    </row>
    <row r="30" spans="1:7" ht="15">
      <c r="A30" s="20"/>
      <c r="B30" s="21" t="s">
        <v>12</v>
      </c>
      <c r="C30" s="56"/>
      <c r="D30" s="32"/>
      <c r="E30" s="40"/>
      <c r="F30" s="30"/>
      <c r="G30" s="16"/>
    </row>
    <row r="31" spans="1:6" ht="15">
      <c r="A31" s="20"/>
      <c r="B31" s="2" t="s">
        <v>13</v>
      </c>
      <c r="C31" s="35"/>
      <c r="D31" s="33"/>
      <c r="E31" s="39">
        <v>9280</v>
      </c>
      <c r="F31" s="35"/>
    </row>
    <row r="32" spans="1:8" ht="15">
      <c r="A32" s="20"/>
      <c r="B32" s="2" t="s">
        <v>14</v>
      </c>
      <c r="C32" s="35"/>
      <c r="D32" s="33"/>
      <c r="E32" s="34">
        <v>9870</v>
      </c>
      <c r="F32" s="35"/>
      <c r="H32" s="9"/>
    </row>
    <row r="33" spans="1:6" ht="15">
      <c r="A33" s="20"/>
      <c r="B33" s="2" t="s">
        <v>15</v>
      </c>
      <c r="C33" s="35"/>
      <c r="D33" s="33"/>
      <c r="E33" s="34">
        <v>13280</v>
      </c>
      <c r="F33" s="35"/>
    </row>
    <row r="34" spans="1:6" ht="15">
      <c r="A34" s="20"/>
      <c r="B34" s="2" t="s">
        <v>16</v>
      </c>
      <c r="C34" s="35"/>
      <c r="D34" s="33"/>
      <c r="E34" s="39">
        <v>13280</v>
      </c>
      <c r="F34" s="35"/>
    </row>
    <row r="35" spans="1:8" ht="15">
      <c r="A35" s="20"/>
      <c r="B35" s="2" t="s">
        <v>17</v>
      </c>
      <c r="C35" s="35"/>
      <c r="D35" s="33"/>
      <c r="E35" s="34">
        <v>12989</v>
      </c>
      <c r="F35" s="35"/>
      <c r="H35" s="9"/>
    </row>
    <row r="36" spans="1:8" ht="15">
      <c r="A36" s="20"/>
      <c r="B36" s="21" t="s">
        <v>18</v>
      </c>
      <c r="C36" s="56"/>
      <c r="D36" s="33"/>
      <c r="E36" s="34">
        <v>8959.43</v>
      </c>
      <c r="F36" s="35"/>
      <c r="H36" s="9"/>
    </row>
    <row r="37" spans="1:8" ht="15">
      <c r="A37" s="20"/>
      <c r="B37" s="2" t="s">
        <v>19</v>
      </c>
      <c r="C37" s="35"/>
      <c r="D37" s="33"/>
      <c r="E37" s="34">
        <v>11396.62</v>
      </c>
      <c r="F37" s="35"/>
      <c r="H37" s="9"/>
    </row>
    <row r="38" spans="1:8" ht="15">
      <c r="A38" s="20"/>
      <c r="B38" s="2" t="s">
        <v>20</v>
      </c>
      <c r="C38" s="35"/>
      <c r="D38" s="33"/>
      <c r="E38" s="39">
        <v>14429</v>
      </c>
      <c r="F38" s="35"/>
      <c r="H38" s="9"/>
    </row>
    <row r="39" spans="1:8" ht="15">
      <c r="A39" s="20"/>
      <c r="B39" s="2" t="s">
        <v>21</v>
      </c>
      <c r="C39" s="35"/>
      <c r="D39" s="33"/>
      <c r="E39" s="39">
        <v>12029</v>
      </c>
      <c r="F39" s="35"/>
      <c r="H39" s="9"/>
    </row>
    <row r="40" spans="1:9" ht="15">
      <c r="A40" s="20"/>
      <c r="B40" s="2" t="s">
        <v>22</v>
      </c>
      <c r="C40" s="35"/>
      <c r="D40" s="33"/>
      <c r="E40" s="39">
        <v>12604</v>
      </c>
      <c r="F40" s="35"/>
      <c r="I40" s="9"/>
    </row>
    <row r="41" spans="1:8" ht="15">
      <c r="A41" s="20"/>
      <c r="B41" s="2" t="s">
        <v>25</v>
      </c>
      <c r="C41" s="35"/>
      <c r="D41" s="33"/>
      <c r="E41" s="39">
        <v>18409</v>
      </c>
      <c r="F41" s="35"/>
      <c r="H41" s="9"/>
    </row>
    <row r="42" spans="1:8" ht="26.25">
      <c r="A42" s="17" t="s">
        <v>26</v>
      </c>
      <c r="B42" s="22" t="s">
        <v>27</v>
      </c>
      <c r="C42" s="57"/>
      <c r="D42" s="37">
        <v>60000</v>
      </c>
      <c r="E42" s="38">
        <f>SUM(E43:E54)</f>
        <v>66310</v>
      </c>
      <c r="F42" s="37">
        <f>D42-E42</f>
        <v>-6310</v>
      </c>
      <c r="H42" s="9"/>
    </row>
    <row r="43" spans="1:8" ht="15">
      <c r="A43" s="20"/>
      <c r="B43" s="21" t="s">
        <v>12</v>
      </c>
      <c r="C43" s="56"/>
      <c r="D43" s="33"/>
      <c r="E43" s="39"/>
      <c r="F43" s="25"/>
      <c r="H43" s="9"/>
    </row>
    <row r="44" spans="1:8" ht="15">
      <c r="A44" s="20"/>
      <c r="B44" s="2" t="s">
        <v>13</v>
      </c>
      <c r="C44" s="35"/>
      <c r="D44" s="33"/>
      <c r="E44" s="39"/>
      <c r="F44" s="25"/>
      <c r="H44" s="9"/>
    </row>
    <row r="45" spans="1:8" ht="15">
      <c r="A45" s="20"/>
      <c r="B45" s="2" t="s">
        <v>14</v>
      </c>
      <c r="C45" s="35"/>
      <c r="D45" s="33"/>
      <c r="E45" s="39">
        <f>13793</f>
        <v>13793</v>
      </c>
      <c r="F45" s="25" t="s">
        <v>175</v>
      </c>
      <c r="H45" s="9"/>
    </row>
    <row r="46" spans="1:6" ht="15">
      <c r="A46" s="20"/>
      <c r="B46" s="2" t="s">
        <v>15</v>
      </c>
      <c r="C46" s="35"/>
      <c r="D46" s="33"/>
      <c r="E46" s="39"/>
      <c r="F46" s="25"/>
    </row>
    <row r="47" spans="1:6" ht="36.75">
      <c r="A47" s="20"/>
      <c r="B47" s="2" t="s">
        <v>16</v>
      </c>
      <c r="C47" s="35"/>
      <c r="D47" s="33"/>
      <c r="E47" s="39">
        <f>3448+2299+7000+11494</f>
        <v>24241</v>
      </c>
      <c r="F47" s="86" t="s">
        <v>109</v>
      </c>
    </row>
    <row r="48" spans="1:8" ht="30">
      <c r="A48" s="20"/>
      <c r="B48" s="2" t="s">
        <v>17</v>
      </c>
      <c r="C48" s="35"/>
      <c r="D48" s="33"/>
      <c r="E48" s="34">
        <v>5747</v>
      </c>
      <c r="F48" s="25" t="s">
        <v>110</v>
      </c>
      <c r="H48" s="9"/>
    </row>
    <row r="49" spans="1:6" ht="15">
      <c r="A49" s="20"/>
      <c r="B49" s="21" t="s">
        <v>18</v>
      </c>
      <c r="C49" s="56"/>
      <c r="D49" s="33"/>
      <c r="E49" s="41"/>
      <c r="F49" s="75"/>
    </row>
    <row r="50" spans="1:6" ht="15">
      <c r="A50" s="20"/>
      <c r="B50" s="2" t="s">
        <v>19</v>
      </c>
      <c r="C50" s="35"/>
      <c r="D50" s="33"/>
      <c r="E50" s="34"/>
      <c r="F50" s="25"/>
    </row>
    <row r="51" spans="1:6" ht="15">
      <c r="A51" s="20"/>
      <c r="B51" s="2" t="s">
        <v>20</v>
      </c>
      <c r="C51" s="35"/>
      <c r="D51" s="33"/>
      <c r="E51" s="39">
        <f>4828</f>
        <v>4828</v>
      </c>
      <c r="F51" s="25" t="s">
        <v>184</v>
      </c>
    </row>
    <row r="52" spans="1:6" ht="15">
      <c r="A52" s="20"/>
      <c r="B52" s="2" t="s">
        <v>21</v>
      </c>
      <c r="C52" s="35"/>
      <c r="D52" s="33"/>
      <c r="E52" s="34"/>
      <c r="F52" s="25"/>
    </row>
    <row r="53" spans="1:6" ht="29.25" customHeight="1">
      <c r="A53" s="20"/>
      <c r="B53" s="2" t="s">
        <v>22</v>
      </c>
      <c r="C53" s="35"/>
      <c r="D53" s="33"/>
      <c r="E53" s="39">
        <f>3448</f>
        <v>3448</v>
      </c>
      <c r="F53" s="25" t="s">
        <v>226</v>
      </c>
    </row>
    <row r="54" spans="1:6" ht="30">
      <c r="A54" s="20"/>
      <c r="B54" s="2" t="s">
        <v>25</v>
      </c>
      <c r="C54" s="35"/>
      <c r="D54" s="33"/>
      <c r="E54" s="39">
        <f>11494+2759</f>
        <v>14253</v>
      </c>
      <c r="F54" s="25" t="s">
        <v>209</v>
      </c>
    </row>
    <row r="55" spans="1:6" ht="15">
      <c r="A55" s="20" t="s">
        <v>28</v>
      </c>
      <c r="B55" s="55" t="s">
        <v>62</v>
      </c>
      <c r="C55" s="35"/>
      <c r="D55" s="66">
        <v>12000</v>
      </c>
      <c r="E55" s="89">
        <f>2299</f>
        <v>2299</v>
      </c>
      <c r="F55" s="90">
        <f>D55-E55</f>
        <v>9701</v>
      </c>
    </row>
    <row r="56" spans="1:6" ht="15">
      <c r="A56" s="20" t="s">
        <v>32</v>
      </c>
      <c r="B56" s="55" t="s">
        <v>66</v>
      </c>
      <c r="C56" s="35"/>
      <c r="D56" s="66">
        <v>14400</v>
      </c>
      <c r="E56" s="89">
        <f>SUM(E57:E68)</f>
        <v>5000</v>
      </c>
      <c r="F56" s="90">
        <f>D56-E56</f>
        <v>9400</v>
      </c>
    </row>
    <row r="57" spans="1:6" ht="15">
      <c r="A57" s="20"/>
      <c r="B57" s="21" t="s">
        <v>12</v>
      </c>
      <c r="C57" s="35"/>
      <c r="D57" s="66"/>
      <c r="E57" s="39"/>
      <c r="F57" s="25"/>
    </row>
    <row r="58" spans="1:6" ht="15">
      <c r="A58" s="20"/>
      <c r="B58" s="21" t="s">
        <v>13</v>
      </c>
      <c r="C58" s="35"/>
      <c r="D58" s="66"/>
      <c r="E58" s="39"/>
      <c r="F58" s="25"/>
    </row>
    <row r="59" spans="1:6" ht="15">
      <c r="A59" s="20"/>
      <c r="B59" s="21" t="s">
        <v>14</v>
      </c>
      <c r="C59" s="35"/>
      <c r="D59" s="66"/>
      <c r="E59" s="39"/>
      <c r="F59" s="25"/>
    </row>
    <row r="60" spans="1:6" ht="15">
      <c r="A60" s="20"/>
      <c r="B60" s="21" t="s">
        <v>15</v>
      </c>
      <c r="C60" s="35"/>
      <c r="D60" s="66"/>
      <c r="E60" s="39"/>
      <c r="F60" s="25"/>
    </row>
    <row r="61" spans="1:6" ht="15">
      <c r="A61" s="20"/>
      <c r="B61" s="21" t="s">
        <v>16</v>
      </c>
      <c r="C61" s="35"/>
      <c r="D61" s="66"/>
      <c r="E61" s="39"/>
      <c r="F61" s="25"/>
    </row>
    <row r="62" spans="1:6" ht="15">
      <c r="A62" s="20"/>
      <c r="B62" s="21" t="s">
        <v>17</v>
      </c>
      <c r="C62" s="35"/>
      <c r="D62" s="66"/>
      <c r="E62" s="39"/>
      <c r="F62" s="25"/>
    </row>
    <row r="63" spans="1:6" ht="15">
      <c r="A63" s="20"/>
      <c r="B63" s="21" t="s">
        <v>18</v>
      </c>
      <c r="C63" s="35"/>
      <c r="D63" s="66"/>
      <c r="E63" s="39">
        <f>3000+2000</f>
        <v>5000</v>
      </c>
      <c r="F63" s="25" t="s">
        <v>219</v>
      </c>
    </row>
    <row r="64" spans="1:6" ht="15">
      <c r="A64" s="20"/>
      <c r="B64" s="21" t="s">
        <v>19</v>
      </c>
      <c r="C64" s="35"/>
      <c r="D64" s="66"/>
      <c r="E64" s="39"/>
      <c r="F64" s="25"/>
    </row>
    <row r="65" spans="1:6" ht="15">
      <c r="A65" s="20"/>
      <c r="B65" s="21" t="s">
        <v>20</v>
      </c>
      <c r="C65" s="35"/>
      <c r="D65" s="66"/>
      <c r="E65" s="39"/>
      <c r="F65" s="25"/>
    </row>
    <row r="66" spans="1:6" ht="15">
      <c r="A66" s="20"/>
      <c r="B66" s="21" t="s">
        <v>21</v>
      </c>
      <c r="C66" s="35"/>
      <c r="D66" s="66"/>
      <c r="E66" s="39"/>
      <c r="F66" s="25"/>
    </row>
    <row r="67" spans="1:6" ht="15">
      <c r="A67" s="20"/>
      <c r="B67" s="21" t="s">
        <v>22</v>
      </c>
      <c r="C67" s="35"/>
      <c r="D67" s="66"/>
      <c r="E67" s="39"/>
      <c r="F67" s="25"/>
    </row>
    <row r="68" spans="1:6" ht="15">
      <c r="A68" s="20"/>
      <c r="B68" s="21" t="s">
        <v>29</v>
      </c>
      <c r="C68" s="35"/>
      <c r="D68" s="66"/>
      <c r="E68" s="39"/>
      <c r="F68" s="25"/>
    </row>
    <row r="69" spans="1:6" ht="15">
      <c r="A69" s="17" t="s">
        <v>34</v>
      </c>
      <c r="B69" s="18" t="s">
        <v>100</v>
      </c>
      <c r="C69" s="37"/>
      <c r="D69" s="37">
        <v>326785</v>
      </c>
      <c r="E69" s="38">
        <f>SUM(E70:E81)</f>
        <v>319043.70999999996</v>
      </c>
      <c r="F69" s="37">
        <f>D69-E69</f>
        <v>7741.290000000037</v>
      </c>
    </row>
    <row r="70" spans="1:6" ht="15">
      <c r="A70" s="20"/>
      <c r="B70" s="21" t="s">
        <v>12</v>
      </c>
      <c r="C70" s="56"/>
      <c r="D70" s="33"/>
      <c r="E70" s="39">
        <f>22018.12+210.99</f>
        <v>22229.11</v>
      </c>
      <c r="F70" s="35"/>
    </row>
    <row r="71" spans="1:6" ht="15">
      <c r="A71" s="20"/>
      <c r="B71" s="2" t="s">
        <v>13</v>
      </c>
      <c r="C71" s="35"/>
      <c r="D71" s="33"/>
      <c r="E71" s="39">
        <f>21531+215.31</f>
        <v>21746.31</v>
      </c>
      <c r="F71" s="35"/>
    </row>
    <row r="72" spans="1:6" ht="15">
      <c r="A72" s="20"/>
      <c r="B72" s="2" t="s">
        <v>14</v>
      </c>
      <c r="C72" s="35"/>
      <c r="D72" s="33"/>
      <c r="E72" s="33">
        <f>25399.3+222.96</f>
        <v>25622.26</v>
      </c>
      <c r="F72" s="35"/>
    </row>
    <row r="73" spans="1:6" ht="15">
      <c r="A73" s="20"/>
      <c r="B73" s="2" t="s">
        <v>15</v>
      </c>
      <c r="C73" s="35"/>
      <c r="D73" s="33"/>
      <c r="E73" s="33">
        <f>23301.94+229.57</f>
        <v>23531.51</v>
      </c>
      <c r="F73" s="35"/>
    </row>
    <row r="74" spans="1:6" ht="15">
      <c r="A74" s="20"/>
      <c r="B74" s="2" t="s">
        <v>16</v>
      </c>
      <c r="C74" s="35"/>
      <c r="D74" s="33"/>
      <c r="E74" s="39">
        <f>28872.31+240.24</f>
        <v>29112.550000000003</v>
      </c>
      <c r="F74" s="35"/>
    </row>
    <row r="75" spans="1:6" ht="15">
      <c r="A75" s="20"/>
      <c r="B75" s="2" t="s">
        <v>17</v>
      </c>
      <c r="C75" s="35"/>
      <c r="D75" s="33"/>
      <c r="E75" s="33">
        <f>39634.84+281.41</f>
        <v>39916.25</v>
      </c>
      <c r="F75" s="35"/>
    </row>
    <row r="76" spans="1:6" ht="15">
      <c r="A76" s="20"/>
      <c r="B76" s="21" t="s">
        <v>18</v>
      </c>
      <c r="C76" s="56"/>
      <c r="D76" s="33"/>
      <c r="E76" s="39">
        <f>26838.44+223.55</f>
        <v>27061.989999999998</v>
      </c>
      <c r="F76" s="35"/>
    </row>
    <row r="77" spans="1:6" ht="15">
      <c r="A77" s="20"/>
      <c r="B77" s="2" t="s">
        <v>19</v>
      </c>
      <c r="C77" s="35"/>
      <c r="D77" s="42"/>
      <c r="E77" s="39">
        <f>23407.45+220.28</f>
        <v>23627.73</v>
      </c>
      <c r="F77" s="35"/>
    </row>
    <row r="78" spans="1:6" ht="15">
      <c r="A78" s="20"/>
      <c r="B78" s="2" t="s">
        <v>20</v>
      </c>
      <c r="C78" s="35"/>
      <c r="D78" s="33"/>
      <c r="E78" s="39">
        <f>24276.23+219.25</f>
        <v>24495.48</v>
      </c>
      <c r="F78" s="35"/>
    </row>
    <row r="79" spans="1:6" ht="15">
      <c r="A79" s="20"/>
      <c r="B79" s="2" t="s">
        <v>21</v>
      </c>
      <c r="C79" s="35"/>
      <c r="D79" s="33"/>
      <c r="E79" s="33"/>
      <c r="F79" s="35"/>
    </row>
    <row r="80" spans="1:6" ht="15">
      <c r="A80" s="20"/>
      <c r="B80" s="2" t="s">
        <v>22</v>
      </c>
      <c r="C80" s="35"/>
      <c r="D80" s="33"/>
      <c r="E80" s="33">
        <f>23961.04+223.45</f>
        <v>24184.49</v>
      </c>
      <c r="F80" s="35"/>
    </row>
    <row r="81" spans="1:6" ht="15">
      <c r="A81" s="20"/>
      <c r="B81" s="2" t="s">
        <v>29</v>
      </c>
      <c r="C81" s="35"/>
      <c r="D81" s="33"/>
      <c r="E81" s="33">
        <f>26571.44+243.98+30515.19+185.42</f>
        <v>57516.03</v>
      </c>
      <c r="F81" s="35"/>
    </row>
    <row r="82" spans="1:6" ht="15">
      <c r="A82" s="17" t="s">
        <v>54</v>
      </c>
      <c r="B82" s="18" t="s">
        <v>30</v>
      </c>
      <c r="C82" s="37"/>
      <c r="D82" s="37">
        <v>60000</v>
      </c>
      <c r="E82" s="38">
        <f>SUM(E83:E84)</f>
        <v>27236</v>
      </c>
      <c r="F82" s="37">
        <f>D82-E82</f>
        <v>32764</v>
      </c>
    </row>
    <row r="83" spans="1:6" ht="15">
      <c r="A83" s="20"/>
      <c r="B83" s="2" t="s">
        <v>31</v>
      </c>
      <c r="C83" s="35"/>
      <c r="D83" s="33"/>
      <c r="E83" s="34">
        <f>25949+1287</f>
        <v>27236</v>
      </c>
      <c r="F83" s="35" t="s">
        <v>111</v>
      </c>
    </row>
    <row r="84" spans="1:6" ht="15">
      <c r="A84" s="20"/>
      <c r="B84" s="2" t="s">
        <v>103</v>
      </c>
      <c r="C84" s="35"/>
      <c r="D84" s="33"/>
      <c r="E84" s="34"/>
      <c r="F84" s="35"/>
    </row>
    <row r="85" spans="1:6" ht="15">
      <c r="A85" s="17" t="s">
        <v>56</v>
      </c>
      <c r="B85" s="18" t="s">
        <v>33</v>
      </c>
      <c r="C85" s="37"/>
      <c r="D85" s="37">
        <v>30000</v>
      </c>
      <c r="E85" s="38">
        <f>SUM(E86:E97)</f>
        <v>16975.82</v>
      </c>
      <c r="F85" s="37">
        <f>D85-E85</f>
        <v>13024.18</v>
      </c>
    </row>
    <row r="86" spans="1:6" ht="15">
      <c r="A86" s="20"/>
      <c r="B86" s="21" t="s">
        <v>12</v>
      </c>
      <c r="C86" s="56"/>
      <c r="D86" s="33"/>
      <c r="E86" s="39">
        <v>1826.43</v>
      </c>
      <c r="F86" s="35"/>
    </row>
    <row r="87" spans="1:6" ht="15">
      <c r="A87" s="20"/>
      <c r="B87" s="2" t="s">
        <v>13</v>
      </c>
      <c r="C87" s="35"/>
      <c r="D87" s="33"/>
      <c r="E87" s="39">
        <v>932.62</v>
      </c>
      <c r="F87" s="35"/>
    </row>
    <row r="88" spans="1:6" ht="15">
      <c r="A88" s="20"/>
      <c r="B88" s="2" t="s">
        <v>14</v>
      </c>
      <c r="C88" s="35"/>
      <c r="D88" s="33"/>
      <c r="E88" s="43">
        <v>838.49</v>
      </c>
      <c r="F88" s="35"/>
    </row>
    <row r="89" spans="1:6" ht="15">
      <c r="A89" s="20"/>
      <c r="B89" s="2" t="s">
        <v>15</v>
      </c>
      <c r="C89" s="35"/>
      <c r="D89" s="33"/>
      <c r="E89" s="43">
        <v>1023.35</v>
      </c>
      <c r="F89" s="35"/>
    </row>
    <row r="90" spans="1:6" ht="15">
      <c r="A90" s="20"/>
      <c r="B90" s="2" t="s">
        <v>16</v>
      </c>
      <c r="C90" s="35"/>
      <c r="D90" s="33"/>
      <c r="E90" s="33">
        <v>1018.88</v>
      </c>
      <c r="F90" s="35"/>
    </row>
    <row r="91" spans="1:6" ht="15">
      <c r="A91" s="20"/>
      <c r="B91" s="2" t="s">
        <v>17</v>
      </c>
      <c r="C91" s="35"/>
      <c r="D91" s="33"/>
      <c r="E91" s="33">
        <v>1203.33</v>
      </c>
      <c r="F91" s="35"/>
    </row>
    <row r="92" spans="1:6" ht="15">
      <c r="A92" s="20"/>
      <c r="B92" s="21" t="s">
        <v>18</v>
      </c>
      <c r="C92" s="56"/>
      <c r="D92" s="33"/>
      <c r="E92" s="33">
        <v>1125.76</v>
      </c>
      <c r="F92" s="35"/>
    </row>
    <row r="93" spans="1:6" ht="15">
      <c r="A93" s="20"/>
      <c r="B93" s="2" t="s">
        <v>19</v>
      </c>
      <c r="C93" s="35"/>
      <c r="D93" s="33"/>
      <c r="E93" s="33">
        <v>1056.56</v>
      </c>
      <c r="F93" s="35"/>
    </row>
    <row r="94" spans="1:8" ht="15">
      <c r="A94" s="20"/>
      <c r="B94" s="2" t="s">
        <v>20</v>
      </c>
      <c r="C94" s="35"/>
      <c r="D94" s="42"/>
      <c r="E94" s="33">
        <v>1243.12</v>
      </c>
      <c r="F94" s="35"/>
      <c r="H94" s="9"/>
    </row>
    <row r="95" spans="1:8" ht="15">
      <c r="A95" s="20"/>
      <c r="B95" s="2" t="s">
        <v>21</v>
      </c>
      <c r="C95" s="35"/>
      <c r="D95" s="33"/>
      <c r="E95" s="33">
        <v>3467.78</v>
      </c>
      <c r="F95" s="35"/>
      <c r="H95" s="9"/>
    </row>
    <row r="96" spans="1:6" ht="15">
      <c r="A96" s="20"/>
      <c r="B96" s="2" t="s">
        <v>22</v>
      </c>
      <c r="C96" s="35"/>
      <c r="D96" s="33"/>
      <c r="E96" s="33">
        <v>1484.13</v>
      </c>
      <c r="F96" s="35"/>
    </row>
    <row r="97" spans="1:6" ht="15">
      <c r="A97" s="20"/>
      <c r="B97" s="2" t="s">
        <v>29</v>
      </c>
      <c r="C97" s="35"/>
      <c r="D97" s="33"/>
      <c r="E97" s="33">
        <v>1755.37</v>
      </c>
      <c r="F97" s="35"/>
    </row>
    <row r="98" spans="1:6" ht="15">
      <c r="A98" s="17" t="s">
        <v>58</v>
      </c>
      <c r="B98" s="18" t="s">
        <v>35</v>
      </c>
      <c r="C98" s="37"/>
      <c r="D98" s="37">
        <v>12000</v>
      </c>
      <c r="E98" s="37">
        <f>SUM(E99:E131)</f>
        <v>10749.52</v>
      </c>
      <c r="F98" s="37">
        <f>D98-E98</f>
        <v>1250.4799999999996</v>
      </c>
    </row>
    <row r="99" spans="1:6" ht="15">
      <c r="A99" s="20"/>
      <c r="B99" s="21" t="s">
        <v>36</v>
      </c>
      <c r="C99" s="56"/>
      <c r="D99" s="33"/>
      <c r="E99" s="33">
        <v>475.73</v>
      </c>
      <c r="F99" s="35"/>
    </row>
    <row r="100" spans="1:6" ht="15">
      <c r="A100" s="20"/>
      <c r="B100" s="21" t="s">
        <v>96</v>
      </c>
      <c r="C100" s="56"/>
      <c r="D100" s="33"/>
      <c r="E100" s="33">
        <v>200</v>
      </c>
      <c r="F100" s="35"/>
    </row>
    <row r="101" spans="1:6" ht="15">
      <c r="A101" s="20"/>
      <c r="B101" s="2" t="s">
        <v>37</v>
      </c>
      <c r="C101" s="35"/>
      <c r="D101" s="33"/>
      <c r="E101" s="33">
        <v>483.89</v>
      </c>
      <c r="F101" s="35"/>
    </row>
    <row r="102" spans="1:6" ht="15">
      <c r="A102" s="20"/>
      <c r="B102" s="2" t="s">
        <v>38</v>
      </c>
      <c r="C102" s="35"/>
      <c r="D102" s="33"/>
      <c r="E102" s="33">
        <v>100</v>
      </c>
      <c r="F102" s="35"/>
    </row>
    <row r="103" spans="1:6" ht="15">
      <c r="A103" s="20"/>
      <c r="B103" s="2" t="s">
        <v>39</v>
      </c>
      <c r="C103" s="35"/>
      <c r="D103" s="33"/>
      <c r="E103" s="33">
        <v>638.58</v>
      </c>
      <c r="F103" s="35"/>
    </row>
    <row r="104" spans="1:6" ht="15">
      <c r="A104" s="20"/>
      <c r="B104" s="2" t="s">
        <v>40</v>
      </c>
      <c r="C104" s="35"/>
      <c r="D104" s="33"/>
      <c r="E104" s="33">
        <v>100</v>
      </c>
      <c r="F104" s="35"/>
    </row>
    <row r="105" spans="1:6" ht="15">
      <c r="A105" s="20"/>
      <c r="B105" s="2" t="s">
        <v>41</v>
      </c>
      <c r="C105" s="35"/>
      <c r="D105" s="60"/>
      <c r="E105" s="60">
        <v>370.22</v>
      </c>
      <c r="F105" s="35"/>
    </row>
    <row r="106" spans="1:6" ht="15">
      <c r="A106" s="20"/>
      <c r="B106" s="2" t="s">
        <v>105</v>
      </c>
      <c r="C106" s="80"/>
      <c r="D106" s="81"/>
      <c r="E106" s="42">
        <v>400</v>
      </c>
      <c r="F106" s="35"/>
    </row>
    <row r="107" spans="1:6" ht="15">
      <c r="A107" s="20"/>
      <c r="B107" s="2" t="s">
        <v>43</v>
      </c>
      <c r="C107" s="35"/>
      <c r="D107" s="72"/>
      <c r="E107" s="33">
        <v>749.5</v>
      </c>
      <c r="F107" s="35"/>
    </row>
    <row r="108" spans="1:7" ht="15">
      <c r="A108" s="20"/>
      <c r="B108" s="2" t="s">
        <v>42</v>
      </c>
      <c r="C108" s="35"/>
      <c r="D108" s="82"/>
      <c r="E108" s="33">
        <v>200</v>
      </c>
      <c r="F108" s="35"/>
      <c r="G108" s="16"/>
    </row>
    <row r="109" spans="1:6" ht="15">
      <c r="A109" s="20"/>
      <c r="B109" s="2" t="s">
        <v>44</v>
      </c>
      <c r="C109" s="80"/>
      <c r="D109" s="81"/>
      <c r="E109" s="42">
        <v>405.95</v>
      </c>
      <c r="F109" s="35"/>
    </row>
    <row r="110" spans="1:6" ht="15">
      <c r="A110" s="20"/>
      <c r="B110" s="2" t="s">
        <v>45</v>
      </c>
      <c r="C110" s="35"/>
      <c r="D110" s="72"/>
      <c r="E110" s="33">
        <v>200</v>
      </c>
      <c r="F110" s="35"/>
    </row>
    <row r="111" spans="1:6" ht="15">
      <c r="A111" s="20"/>
      <c r="B111" s="21" t="s">
        <v>101</v>
      </c>
      <c r="C111" s="56"/>
      <c r="D111" s="33"/>
      <c r="E111" s="33">
        <v>669.37</v>
      </c>
      <c r="F111" s="35"/>
    </row>
    <row r="112" spans="1:6" ht="15">
      <c r="A112" s="20"/>
      <c r="B112" s="21" t="s">
        <v>46</v>
      </c>
      <c r="C112" s="56"/>
      <c r="D112" s="33"/>
      <c r="E112" s="43"/>
      <c r="F112" s="35"/>
    </row>
    <row r="113" spans="1:6" ht="15">
      <c r="A113" s="20"/>
      <c r="B113" s="2" t="s">
        <v>47</v>
      </c>
      <c r="C113" s="35"/>
      <c r="D113" s="42"/>
      <c r="E113" s="33">
        <v>469.08</v>
      </c>
      <c r="F113" s="35"/>
    </row>
    <row r="114" spans="1:6" ht="15">
      <c r="A114" s="20"/>
      <c r="B114" s="2" t="s">
        <v>48</v>
      </c>
      <c r="C114" s="35"/>
      <c r="D114" s="33"/>
      <c r="E114" s="43">
        <v>100</v>
      </c>
      <c r="F114" s="35"/>
    </row>
    <row r="115" spans="1:6" ht="15">
      <c r="A115" s="20"/>
      <c r="B115" s="2" t="s">
        <v>190</v>
      </c>
      <c r="C115" s="35"/>
      <c r="D115" s="33"/>
      <c r="E115" s="43">
        <v>345.78</v>
      </c>
      <c r="F115" s="35"/>
    </row>
    <row r="116" spans="1:6" ht="15">
      <c r="A116" s="20"/>
      <c r="B116" s="2" t="s">
        <v>191</v>
      </c>
      <c r="C116" s="35"/>
      <c r="D116" s="33"/>
      <c r="E116" s="73">
        <v>100</v>
      </c>
      <c r="F116" s="35"/>
    </row>
    <row r="117" spans="1:6" ht="15">
      <c r="A117" s="20"/>
      <c r="B117" s="2" t="s">
        <v>50</v>
      </c>
      <c r="C117" s="35"/>
      <c r="D117" s="33"/>
      <c r="E117" s="33">
        <f>569.98+279.49</f>
        <v>849.47</v>
      </c>
      <c r="F117" s="35"/>
    </row>
    <row r="118" spans="1:6" ht="15">
      <c r="A118" s="20"/>
      <c r="B118" s="2" t="s">
        <v>49</v>
      </c>
      <c r="C118" s="35"/>
      <c r="D118" s="33"/>
      <c r="E118" s="33">
        <v>100</v>
      </c>
      <c r="F118" s="35"/>
    </row>
    <row r="119" spans="1:6" ht="15">
      <c r="A119" s="20"/>
      <c r="B119" s="2" t="s">
        <v>52</v>
      </c>
      <c r="C119" s="35"/>
      <c r="D119" s="33"/>
      <c r="E119" s="43">
        <v>619.74</v>
      </c>
      <c r="F119" s="35"/>
    </row>
    <row r="120" spans="1:6" ht="15">
      <c r="A120" s="20"/>
      <c r="B120" s="2" t="s">
        <v>51</v>
      </c>
      <c r="C120" s="35"/>
      <c r="D120" s="42"/>
      <c r="E120" s="33">
        <v>50</v>
      </c>
      <c r="F120" s="35"/>
    </row>
    <row r="121" spans="1:6" ht="15">
      <c r="A121" s="20"/>
      <c r="B121" s="2" t="s">
        <v>53</v>
      </c>
      <c r="C121" s="35"/>
      <c r="D121" s="33"/>
      <c r="E121" s="43">
        <v>354.51</v>
      </c>
      <c r="F121" s="35"/>
    </row>
    <row r="122" spans="1:6" ht="15">
      <c r="A122" s="20"/>
      <c r="B122" s="2" t="s">
        <v>213</v>
      </c>
      <c r="C122" s="35"/>
      <c r="D122" s="33"/>
      <c r="E122" s="43">
        <v>700</v>
      </c>
      <c r="F122" s="35"/>
    </row>
    <row r="123" spans="1:6" ht="15">
      <c r="A123" s="20"/>
      <c r="B123" s="55" t="s">
        <v>97</v>
      </c>
      <c r="C123" s="35"/>
      <c r="D123" s="33"/>
      <c r="E123" s="43"/>
      <c r="F123" s="35"/>
    </row>
    <row r="124" spans="1:6" ht="15">
      <c r="A124" s="20"/>
      <c r="B124" s="21" t="s">
        <v>12</v>
      </c>
      <c r="C124" s="35"/>
      <c r="D124" s="33"/>
      <c r="E124" s="33"/>
      <c r="F124" s="35"/>
    </row>
    <row r="125" spans="1:6" ht="15">
      <c r="A125" s="20"/>
      <c r="B125" s="21" t="s">
        <v>13</v>
      </c>
      <c r="C125" s="35"/>
      <c r="D125" s="33"/>
      <c r="E125" s="33"/>
      <c r="F125" s="35"/>
    </row>
    <row r="126" spans="1:7" ht="15">
      <c r="A126" s="20"/>
      <c r="B126" s="21" t="s">
        <v>14</v>
      </c>
      <c r="C126" s="35"/>
      <c r="D126" s="33"/>
      <c r="E126" s="33"/>
      <c r="F126" s="35"/>
      <c r="G126" s="16"/>
    </row>
    <row r="127" spans="1:7" ht="15">
      <c r="A127" s="20"/>
      <c r="B127" s="21" t="s">
        <v>15</v>
      </c>
      <c r="C127" s="35"/>
      <c r="D127" s="33"/>
      <c r="E127" s="33"/>
      <c r="F127" s="35"/>
      <c r="G127" s="16"/>
    </row>
    <row r="128" spans="1:7" ht="15">
      <c r="A128" s="20"/>
      <c r="B128" s="21" t="s">
        <v>16</v>
      </c>
      <c r="C128" s="35"/>
      <c r="D128" s="33"/>
      <c r="E128" s="33">
        <v>380</v>
      </c>
      <c r="F128" s="35"/>
      <c r="G128" s="16"/>
    </row>
    <row r="129" spans="1:7" ht="15">
      <c r="A129" s="20"/>
      <c r="B129" s="21" t="s">
        <v>17</v>
      </c>
      <c r="C129" s="35"/>
      <c r="D129" s="33"/>
      <c r="E129" s="33"/>
      <c r="F129" s="35"/>
      <c r="G129" s="16"/>
    </row>
    <row r="130" spans="1:7" ht="15">
      <c r="A130" s="20"/>
      <c r="B130" s="21" t="s">
        <v>18</v>
      </c>
      <c r="C130" s="35"/>
      <c r="D130" s="33"/>
      <c r="E130" s="33">
        <v>737.7</v>
      </c>
      <c r="F130" s="35"/>
      <c r="G130" s="16"/>
    </row>
    <row r="131" spans="1:7" ht="15">
      <c r="A131" s="20"/>
      <c r="B131" s="21" t="s">
        <v>22</v>
      </c>
      <c r="C131" s="35"/>
      <c r="D131" s="33"/>
      <c r="E131" s="33">
        <v>950</v>
      </c>
      <c r="F131" s="35"/>
      <c r="G131" s="16"/>
    </row>
    <row r="132" spans="1:6" ht="15">
      <c r="A132" s="17" t="s">
        <v>61</v>
      </c>
      <c r="B132" s="18" t="s">
        <v>55</v>
      </c>
      <c r="C132" s="37"/>
      <c r="D132" s="37">
        <v>108000</v>
      </c>
      <c r="E132" s="37">
        <f>SUM(E133:E144)</f>
        <v>104765.72000000003</v>
      </c>
      <c r="F132" s="37">
        <f>D132-E132</f>
        <v>3234.2799999999697</v>
      </c>
    </row>
    <row r="133" spans="1:6" ht="15">
      <c r="A133" s="20"/>
      <c r="B133" s="21" t="s">
        <v>12</v>
      </c>
      <c r="C133" s="56"/>
      <c r="D133" s="33"/>
      <c r="E133" s="33">
        <f>1250*2</f>
        <v>2500</v>
      </c>
      <c r="F133" s="35"/>
    </row>
    <row r="134" spans="1:6" ht="15">
      <c r="A134" s="20"/>
      <c r="B134" s="2" t="s">
        <v>13</v>
      </c>
      <c r="C134" s="35"/>
      <c r="D134" s="33"/>
      <c r="E134" s="33">
        <v>8560.52</v>
      </c>
      <c r="F134" s="35"/>
    </row>
    <row r="135" spans="1:6" ht="15">
      <c r="A135" s="20"/>
      <c r="B135" s="2" t="s">
        <v>14</v>
      </c>
      <c r="C135" s="35"/>
      <c r="D135" s="33"/>
      <c r="E135" s="33"/>
      <c r="F135" s="35"/>
    </row>
    <row r="136" spans="1:6" ht="15">
      <c r="A136" s="20"/>
      <c r="B136" s="2" t="s">
        <v>15</v>
      </c>
      <c r="C136" s="35"/>
      <c r="D136" s="33"/>
      <c r="E136" s="33">
        <f>8560.52*2+1350</f>
        <v>18471.04</v>
      </c>
      <c r="F136" s="35"/>
    </row>
    <row r="137" spans="1:6" ht="15">
      <c r="A137" s="20"/>
      <c r="B137" s="2" t="s">
        <v>16</v>
      </c>
      <c r="C137" s="35"/>
      <c r="D137" s="60"/>
      <c r="E137" s="60">
        <f>8560.52+2700</f>
        <v>11260.52</v>
      </c>
      <c r="F137" s="35"/>
    </row>
    <row r="138" spans="1:6" ht="15">
      <c r="A138" s="20"/>
      <c r="B138" s="2" t="s">
        <v>17</v>
      </c>
      <c r="C138" s="80"/>
      <c r="D138" s="81"/>
      <c r="E138" s="42">
        <v>8560</v>
      </c>
      <c r="F138" s="35"/>
    </row>
    <row r="139" spans="1:7" ht="15">
      <c r="A139" s="20"/>
      <c r="B139" s="21" t="s">
        <v>18</v>
      </c>
      <c r="C139" s="56"/>
      <c r="D139" s="72"/>
      <c r="E139" s="33">
        <f>8560.52+2700</f>
        <v>11260.52</v>
      </c>
      <c r="F139" s="35"/>
      <c r="G139" s="16"/>
    </row>
    <row r="140" spans="1:7" ht="15">
      <c r="A140" s="20"/>
      <c r="B140" s="2" t="s">
        <v>19</v>
      </c>
      <c r="C140" s="35"/>
      <c r="D140" s="33"/>
      <c r="E140" s="43">
        <v>8561.04</v>
      </c>
      <c r="F140" s="35"/>
      <c r="G140" s="16"/>
    </row>
    <row r="141" spans="1:8" ht="15">
      <c r="A141" s="20"/>
      <c r="B141" s="2" t="s">
        <v>20</v>
      </c>
      <c r="C141" s="35"/>
      <c r="D141" s="33"/>
      <c r="E141" s="43">
        <v>8560.52</v>
      </c>
      <c r="F141" s="35"/>
      <c r="G141" s="16"/>
      <c r="H141" s="16"/>
    </row>
    <row r="142" spans="1:7" ht="15">
      <c r="A142" s="20"/>
      <c r="B142" s="2" t="s">
        <v>21</v>
      </c>
      <c r="C142" s="35"/>
      <c r="D142" s="33"/>
      <c r="E142" s="33">
        <v>8560.52</v>
      </c>
      <c r="F142" s="35"/>
      <c r="G142" s="16"/>
    </row>
    <row r="143" spans="1:7" ht="15">
      <c r="A143" s="20"/>
      <c r="B143" s="2" t="s">
        <v>22</v>
      </c>
      <c r="C143" s="35"/>
      <c r="D143" s="33"/>
      <c r="E143" s="43">
        <v>8560.52</v>
      </c>
      <c r="F143" s="35"/>
      <c r="G143" s="16"/>
    </row>
    <row r="144" spans="1:7" ht="15">
      <c r="A144" s="20"/>
      <c r="B144" s="2" t="s">
        <v>29</v>
      </c>
      <c r="C144" s="35"/>
      <c r="D144" s="33"/>
      <c r="E144" s="43">
        <v>9910.52</v>
      </c>
      <c r="F144" s="35"/>
      <c r="G144" s="16"/>
    </row>
    <row r="145" spans="1:7" ht="15">
      <c r="A145" s="23" t="s">
        <v>63</v>
      </c>
      <c r="B145" s="18" t="s">
        <v>57</v>
      </c>
      <c r="C145" s="37"/>
      <c r="D145" s="37">
        <v>42000</v>
      </c>
      <c r="E145" s="37">
        <f>SUM(E146:E157)</f>
        <v>27942.030000000002</v>
      </c>
      <c r="F145" s="37">
        <f>D145-E145</f>
        <v>14057.969999999998</v>
      </c>
      <c r="G145" s="16"/>
    </row>
    <row r="146" spans="1:6" ht="15">
      <c r="A146" s="20"/>
      <c r="B146" s="21" t="s">
        <v>12</v>
      </c>
      <c r="C146" s="56"/>
      <c r="D146" s="11"/>
      <c r="E146" s="11">
        <v>175</v>
      </c>
      <c r="F146" s="87" t="s">
        <v>173</v>
      </c>
    </row>
    <row r="147" spans="1:7" ht="15">
      <c r="A147" s="20"/>
      <c r="B147" s="2" t="s">
        <v>13</v>
      </c>
      <c r="C147" s="35"/>
      <c r="D147" s="24"/>
      <c r="E147" s="24">
        <v>2045.5</v>
      </c>
      <c r="F147" s="88" t="s">
        <v>192</v>
      </c>
      <c r="G147" s="16"/>
    </row>
    <row r="148" spans="1:6" ht="15">
      <c r="A148" s="20"/>
      <c r="B148" s="2" t="s">
        <v>14</v>
      </c>
      <c r="C148" s="35"/>
      <c r="D148" s="24"/>
      <c r="E148" s="24">
        <v>368.5</v>
      </c>
      <c r="F148" s="88" t="s">
        <v>104</v>
      </c>
    </row>
    <row r="149" spans="1:6" ht="26.25">
      <c r="A149" s="20"/>
      <c r="B149" s="2" t="s">
        <v>15</v>
      </c>
      <c r="C149" s="35"/>
      <c r="D149" s="11"/>
      <c r="E149" s="11">
        <f>1404.27+702+506.5</f>
        <v>2612.77</v>
      </c>
      <c r="F149" s="88" t="s">
        <v>200</v>
      </c>
    </row>
    <row r="150" spans="1:6" ht="15">
      <c r="A150" s="20"/>
      <c r="B150" s="2" t="s">
        <v>16</v>
      </c>
      <c r="C150" s="35"/>
      <c r="D150" s="24"/>
      <c r="E150" s="24">
        <v>457.8</v>
      </c>
      <c r="F150" s="88" t="s">
        <v>193</v>
      </c>
    </row>
    <row r="151" spans="1:6" ht="26.25">
      <c r="A151" s="20"/>
      <c r="B151" s="2" t="s">
        <v>17</v>
      </c>
      <c r="C151" s="35"/>
      <c r="D151" s="11"/>
      <c r="E151" s="11">
        <f>5890+486.11</f>
        <v>6376.11</v>
      </c>
      <c r="F151" s="88" t="s">
        <v>194</v>
      </c>
    </row>
    <row r="152" spans="1:6" ht="15">
      <c r="A152" s="20"/>
      <c r="B152" s="21" t="s">
        <v>18</v>
      </c>
      <c r="C152" s="56"/>
      <c r="D152" s="11"/>
      <c r="E152" s="11">
        <v>39</v>
      </c>
      <c r="F152" s="88" t="s">
        <v>195</v>
      </c>
    </row>
    <row r="153" spans="1:6" ht="15">
      <c r="A153" s="20"/>
      <c r="B153" s="2" t="s">
        <v>19</v>
      </c>
      <c r="C153" s="35"/>
      <c r="D153" s="11"/>
      <c r="E153" s="11">
        <v>226.2</v>
      </c>
      <c r="F153" s="87" t="s">
        <v>177</v>
      </c>
    </row>
    <row r="154" spans="1:6" ht="15">
      <c r="A154" s="20"/>
      <c r="B154" s="2" t="s">
        <v>20</v>
      </c>
      <c r="C154" s="35"/>
      <c r="D154" s="11"/>
      <c r="E154" s="11">
        <v>308</v>
      </c>
      <c r="F154" s="87" t="s">
        <v>196</v>
      </c>
    </row>
    <row r="155" spans="1:6" ht="15">
      <c r="A155" s="20"/>
      <c r="B155" s="2" t="s">
        <v>21</v>
      </c>
      <c r="C155" s="35"/>
      <c r="D155" s="11"/>
      <c r="E155" s="11">
        <f>3810+980</f>
        <v>4790</v>
      </c>
      <c r="F155" s="87" t="s">
        <v>214</v>
      </c>
    </row>
    <row r="156" spans="1:7" ht="26.25">
      <c r="A156" s="20"/>
      <c r="B156" s="2" t="s">
        <v>22</v>
      </c>
      <c r="C156" s="35"/>
      <c r="D156" s="11"/>
      <c r="E156" s="11">
        <v>9899.75</v>
      </c>
      <c r="F156" s="91" t="s">
        <v>215</v>
      </c>
      <c r="G156" s="16"/>
    </row>
    <row r="157" spans="1:7" ht="15">
      <c r="A157" s="20"/>
      <c r="B157" s="2" t="s">
        <v>29</v>
      </c>
      <c r="C157" s="35"/>
      <c r="D157" s="11"/>
      <c r="E157" s="11">
        <v>643.4</v>
      </c>
      <c r="F157" s="87" t="s">
        <v>212</v>
      </c>
      <c r="G157" s="16"/>
    </row>
    <row r="158" spans="1:6" ht="15">
      <c r="A158" s="23" t="s">
        <v>65</v>
      </c>
      <c r="B158" s="18" t="s">
        <v>59</v>
      </c>
      <c r="C158" s="37"/>
      <c r="D158" s="19">
        <v>44000</v>
      </c>
      <c r="E158" s="19">
        <f>SUM(E159:E170)</f>
        <v>34083.01</v>
      </c>
      <c r="F158" s="19">
        <f>D158-E158</f>
        <v>9916.989999999998</v>
      </c>
    </row>
    <row r="159" spans="1:7" ht="15">
      <c r="A159" s="20"/>
      <c r="B159" s="21" t="s">
        <v>12</v>
      </c>
      <c r="C159" s="56"/>
      <c r="D159" s="11"/>
      <c r="E159" s="11">
        <v>274</v>
      </c>
      <c r="F159" s="88" t="s">
        <v>172</v>
      </c>
      <c r="G159" s="16"/>
    </row>
    <row r="160" spans="1:6" ht="15">
      <c r="A160" s="20"/>
      <c r="B160" s="2" t="s">
        <v>13</v>
      </c>
      <c r="C160" s="35"/>
      <c r="D160" s="11"/>
      <c r="E160" s="11">
        <v>1398.7</v>
      </c>
      <c r="F160" s="88" t="s">
        <v>197</v>
      </c>
    </row>
    <row r="161" spans="1:7" ht="15">
      <c r="A161" s="20"/>
      <c r="B161" s="2" t="s">
        <v>14</v>
      </c>
      <c r="C161" s="35"/>
      <c r="D161" s="24"/>
      <c r="E161" s="24">
        <f>774</f>
        <v>774</v>
      </c>
      <c r="F161" s="88" t="s">
        <v>186</v>
      </c>
      <c r="G161" s="16"/>
    </row>
    <row r="162" spans="1:7" ht="15">
      <c r="A162" s="20"/>
      <c r="B162" s="2" t="s">
        <v>15</v>
      </c>
      <c r="C162" s="35"/>
      <c r="D162" s="11"/>
      <c r="E162" s="11">
        <f>650</f>
        <v>650</v>
      </c>
      <c r="F162" s="88" t="s">
        <v>188</v>
      </c>
      <c r="G162" s="16"/>
    </row>
    <row r="163" spans="1:6" ht="15">
      <c r="A163" s="20"/>
      <c r="B163" s="2" t="s">
        <v>16</v>
      </c>
      <c r="C163" s="35"/>
      <c r="D163" s="11"/>
      <c r="E163" s="11">
        <v>767.71</v>
      </c>
      <c r="F163" s="88" t="s">
        <v>198</v>
      </c>
    </row>
    <row r="164" spans="1:6" ht="15">
      <c r="A164" s="20"/>
      <c r="B164" s="2" t="s">
        <v>17</v>
      </c>
      <c r="C164" s="35"/>
      <c r="D164" s="11"/>
      <c r="E164" s="11">
        <v>500</v>
      </c>
      <c r="F164" s="88" t="s">
        <v>174</v>
      </c>
    </row>
    <row r="165" spans="1:6" ht="15">
      <c r="A165" s="20"/>
      <c r="B165" s="21" t="s">
        <v>18</v>
      </c>
      <c r="C165" s="56"/>
      <c r="D165" s="11"/>
      <c r="E165" s="11">
        <v>458</v>
      </c>
      <c r="F165" s="88" t="s">
        <v>176</v>
      </c>
    </row>
    <row r="166" spans="1:7" ht="15">
      <c r="A166" s="20"/>
      <c r="B166" s="2" t="s">
        <v>19</v>
      </c>
      <c r="C166" s="35"/>
      <c r="D166" s="11"/>
      <c r="E166" s="11">
        <v>621</v>
      </c>
      <c r="F166" s="88" t="s">
        <v>60</v>
      </c>
      <c r="G166" s="16"/>
    </row>
    <row r="167" spans="1:7" ht="26.25">
      <c r="A167" s="20"/>
      <c r="B167" s="2" t="s">
        <v>20</v>
      </c>
      <c r="C167" s="35"/>
      <c r="D167" s="11"/>
      <c r="E167" s="11">
        <v>856.2</v>
      </c>
      <c r="F167" s="88" t="s">
        <v>199</v>
      </c>
      <c r="G167" s="16"/>
    </row>
    <row r="168" spans="1:7" ht="15">
      <c r="A168" s="20"/>
      <c r="B168" s="2" t="s">
        <v>21</v>
      </c>
      <c r="C168" s="35"/>
      <c r="D168" s="11"/>
      <c r="E168" s="11">
        <f>1950+63</f>
        <v>2013</v>
      </c>
      <c r="F168" s="88" t="s">
        <v>235</v>
      </c>
      <c r="G168" s="16"/>
    </row>
    <row r="169" spans="1:7" ht="26.25">
      <c r="A169" s="20"/>
      <c r="B169" s="2" t="s">
        <v>22</v>
      </c>
      <c r="C169" s="35"/>
      <c r="D169" s="11"/>
      <c r="E169" s="11">
        <f>19280.4+1300</f>
        <v>20580.4</v>
      </c>
      <c r="F169" s="88" t="s">
        <v>216</v>
      </c>
      <c r="G169" s="16"/>
    </row>
    <row r="170" spans="1:6" ht="15">
      <c r="A170" s="20"/>
      <c r="B170" s="2" t="s">
        <v>29</v>
      </c>
      <c r="C170" s="35"/>
      <c r="D170" s="11"/>
      <c r="E170" s="11">
        <f>1290+3900</f>
        <v>5190</v>
      </c>
      <c r="F170" s="88" t="s">
        <v>218</v>
      </c>
    </row>
    <row r="171" spans="1:6" ht="15">
      <c r="A171" s="23" t="s">
        <v>67</v>
      </c>
      <c r="B171" s="18" t="s">
        <v>112</v>
      </c>
      <c r="C171" s="37"/>
      <c r="D171" s="19">
        <v>9600</v>
      </c>
      <c r="E171" s="19">
        <v>7751.43</v>
      </c>
      <c r="F171" s="19">
        <f aca="true" t="shared" si="0" ref="F171:F177">D171-E171</f>
        <v>1848.5699999999997</v>
      </c>
    </row>
    <row r="172" spans="1:6" ht="15">
      <c r="A172" s="23" t="s">
        <v>113</v>
      </c>
      <c r="B172" s="18" t="s">
        <v>64</v>
      </c>
      <c r="C172" s="37"/>
      <c r="D172" s="19">
        <v>12000</v>
      </c>
      <c r="E172" s="19"/>
      <c r="F172" s="19">
        <f t="shared" si="0"/>
        <v>12000</v>
      </c>
    </row>
    <row r="173" spans="1:6" ht="15">
      <c r="A173" s="23" t="s">
        <v>114</v>
      </c>
      <c r="B173" s="18" t="s">
        <v>115</v>
      </c>
      <c r="C173" s="37"/>
      <c r="D173" s="19">
        <v>14000</v>
      </c>
      <c r="E173" s="19">
        <v>12000</v>
      </c>
      <c r="F173" s="19">
        <f t="shared" si="0"/>
        <v>2000</v>
      </c>
    </row>
    <row r="174" spans="1:6" ht="15">
      <c r="A174" s="20" t="s">
        <v>116</v>
      </c>
      <c r="B174" s="55" t="s">
        <v>117</v>
      </c>
      <c r="C174" s="56"/>
      <c r="D174" s="76">
        <v>61838.88</v>
      </c>
      <c r="E174" s="77">
        <f>5153.24*12</f>
        <v>61838.88</v>
      </c>
      <c r="F174" s="19">
        <f t="shared" si="0"/>
        <v>0</v>
      </c>
    </row>
    <row r="175" spans="1:6" ht="15">
      <c r="A175" s="20" t="s">
        <v>118</v>
      </c>
      <c r="B175" s="55" t="s">
        <v>119</v>
      </c>
      <c r="C175" s="35"/>
      <c r="D175" s="76">
        <v>6000</v>
      </c>
      <c r="E175" s="77">
        <f>2400+4030</f>
        <v>6430</v>
      </c>
      <c r="F175" s="19">
        <f t="shared" si="0"/>
        <v>-430</v>
      </c>
    </row>
    <row r="176" spans="1:6" ht="18.75">
      <c r="A176" s="20"/>
      <c r="B176" s="6" t="s">
        <v>8</v>
      </c>
      <c r="C176" s="35"/>
      <c r="D176" s="78">
        <f>SUM(D16:D175)</f>
        <v>2344825.88</v>
      </c>
      <c r="E176" s="78">
        <f>SUM(E16,E29,E42,E69,E82,E85,E98,E132,E145,E158,E171,E172,E173,E174,E175)</f>
        <v>2100752.08</v>
      </c>
      <c r="F176" s="19">
        <f t="shared" si="0"/>
        <v>244073.7999999998</v>
      </c>
    </row>
    <row r="177" spans="1:6" ht="15">
      <c r="A177" s="17" t="s">
        <v>122</v>
      </c>
      <c r="B177" s="18" t="s">
        <v>68</v>
      </c>
      <c r="C177" s="37"/>
      <c r="D177" s="37">
        <v>120000</v>
      </c>
      <c r="E177" s="37">
        <f>SUM(E178:E189)</f>
        <v>141718.77</v>
      </c>
      <c r="F177" s="37">
        <f t="shared" si="0"/>
        <v>-21718.76999999999</v>
      </c>
    </row>
    <row r="178" spans="1:6" ht="15">
      <c r="A178" s="20"/>
      <c r="B178" s="21" t="s">
        <v>12</v>
      </c>
      <c r="C178" s="56"/>
      <c r="D178" s="33"/>
      <c r="E178" s="33">
        <f>5407.51+5778.87+12</f>
        <v>11198.380000000001</v>
      </c>
      <c r="F178" s="35"/>
    </row>
    <row r="179" spans="1:6" ht="15">
      <c r="A179" s="20"/>
      <c r="B179" s="2" t="s">
        <v>13</v>
      </c>
      <c r="C179" s="35"/>
      <c r="D179" s="33"/>
      <c r="E179" s="33">
        <f>5737.47+6101.58+12</f>
        <v>11851.05</v>
      </c>
      <c r="F179" s="35"/>
    </row>
    <row r="180" spans="1:6" ht="15">
      <c r="A180" s="20"/>
      <c r="B180" s="2" t="s">
        <v>14</v>
      </c>
      <c r="C180" s="35"/>
      <c r="D180" s="33"/>
      <c r="E180" s="33">
        <f>5576.9+5886.73+12</f>
        <v>11475.63</v>
      </c>
      <c r="F180" s="35"/>
    </row>
    <row r="181" spans="1:6" ht="15">
      <c r="A181" s="20"/>
      <c r="B181" s="2" t="s">
        <v>15</v>
      </c>
      <c r="C181" s="35"/>
      <c r="D181" s="33"/>
      <c r="E181" s="33">
        <f>5731.85+6127.04+12</f>
        <v>11870.89</v>
      </c>
      <c r="F181" s="35"/>
    </row>
    <row r="182" spans="1:6" ht="15">
      <c r="A182" s="20"/>
      <c r="B182" s="2" t="s">
        <v>16</v>
      </c>
      <c r="C182" s="35"/>
      <c r="D182" s="33"/>
      <c r="E182" s="33">
        <f>5328.48+5643.13+12</f>
        <v>10983.61</v>
      </c>
      <c r="F182" s="35"/>
    </row>
    <row r="183" spans="1:6" ht="15">
      <c r="A183" s="20"/>
      <c r="B183" s="2" t="s">
        <v>17</v>
      </c>
      <c r="C183" s="35"/>
      <c r="D183" s="33"/>
      <c r="E183" s="33">
        <f>5859.74+6169.68+12</f>
        <v>12041.42</v>
      </c>
      <c r="F183" s="35"/>
    </row>
    <row r="184" spans="1:6" ht="15">
      <c r="A184" s="20"/>
      <c r="B184" s="21" t="s">
        <v>18</v>
      </c>
      <c r="C184" s="56"/>
      <c r="D184" s="33"/>
      <c r="E184" s="33">
        <f>5713.36+6059.67+12</f>
        <v>11785.029999999999</v>
      </c>
      <c r="F184" s="35"/>
    </row>
    <row r="185" spans="1:6" ht="15">
      <c r="A185" s="20"/>
      <c r="B185" s="2" t="s">
        <v>19</v>
      </c>
      <c r="C185" s="35"/>
      <c r="D185" s="33"/>
      <c r="E185" s="33">
        <f>6036.66+6403.75+12</f>
        <v>12452.41</v>
      </c>
      <c r="F185" s="35"/>
    </row>
    <row r="186" spans="1:6" ht="15">
      <c r="A186" s="20"/>
      <c r="B186" s="2" t="s">
        <v>20</v>
      </c>
      <c r="C186" s="35"/>
      <c r="D186" s="33"/>
      <c r="E186" s="33">
        <f>6255.89+6607.69+12</f>
        <v>12875.58</v>
      </c>
      <c r="F186" s="35"/>
    </row>
    <row r="187" spans="1:6" ht="15">
      <c r="A187" s="20"/>
      <c r="B187" s="2" t="s">
        <v>21</v>
      </c>
      <c r="C187" s="35"/>
      <c r="D187" s="33"/>
      <c r="E187" s="33">
        <f>5975.73+6236.4+12</f>
        <v>12224.13</v>
      </c>
      <c r="F187" s="35"/>
    </row>
    <row r="188" spans="1:6" ht="15">
      <c r="A188" s="20"/>
      <c r="B188" s="2" t="s">
        <v>22</v>
      </c>
      <c r="C188" s="35"/>
      <c r="D188" s="33"/>
      <c r="E188" s="33">
        <f>5692.14+5748.53+12</f>
        <v>11452.67</v>
      </c>
      <c r="F188" s="35"/>
    </row>
    <row r="189" spans="1:6" ht="15">
      <c r="A189" s="20"/>
      <c r="B189" s="2" t="s">
        <v>29</v>
      </c>
      <c r="C189" s="35"/>
      <c r="D189" s="33"/>
      <c r="E189" s="33">
        <f>5768.9+5727.07+12</f>
        <v>11507.97</v>
      </c>
      <c r="F189" s="35"/>
    </row>
    <row r="190" spans="1:6" ht="15.75">
      <c r="A190" s="20"/>
      <c r="B190" s="10"/>
      <c r="C190" s="35"/>
      <c r="D190" s="11"/>
      <c r="E190" s="11"/>
      <c r="F190" s="13"/>
    </row>
    <row r="191" spans="1:6" ht="15.75">
      <c r="A191" s="20" t="s">
        <v>69</v>
      </c>
      <c r="B191" s="10" t="s">
        <v>70</v>
      </c>
      <c r="C191" s="58"/>
      <c r="D191" s="11"/>
      <c r="E191" s="11"/>
      <c r="F191" s="13"/>
    </row>
    <row r="192" spans="1:6" ht="15">
      <c r="A192" s="84" t="s">
        <v>126</v>
      </c>
      <c r="B192" s="18" t="s">
        <v>71</v>
      </c>
      <c r="C192" s="37"/>
      <c r="D192" s="37">
        <f>SUM(D193:D199)</f>
        <v>272000</v>
      </c>
      <c r="E192" s="37">
        <f>SUM(E193:E200)</f>
        <v>266366.88</v>
      </c>
      <c r="F192" s="37">
        <f>D192-E192</f>
        <v>5633.119999999995</v>
      </c>
    </row>
    <row r="193" spans="1:6" ht="57" customHeight="1">
      <c r="A193" s="20" t="s">
        <v>127</v>
      </c>
      <c r="B193" s="44" t="s">
        <v>124</v>
      </c>
      <c r="C193" s="35"/>
      <c r="D193" s="33">
        <v>36000</v>
      </c>
      <c r="E193" s="33">
        <f>2874+732.73+2069+180+228+970+10676.35+2060+18+11475.34</f>
        <v>31283.420000000002</v>
      </c>
      <c r="F193" s="85" t="s">
        <v>202</v>
      </c>
    </row>
    <row r="194" spans="1:6" ht="57" customHeight="1">
      <c r="A194" s="20"/>
      <c r="B194" s="44"/>
      <c r="C194" s="35"/>
      <c r="D194" s="33"/>
      <c r="E194" s="33">
        <v>1724</v>
      </c>
      <c r="F194" s="85" t="s">
        <v>224</v>
      </c>
    </row>
    <row r="195" spans="1:7" ht="63" customHeight="1">
      <c r="A195" s="20" t="s">
        <v>128</v>
      </c>
      <c r="B195" s="44" t="s">
        <v>125</v>
      </c>
      <c r="C195" s="35"/>
      <c r="D195" s="33">
        <v>94600</v>
      </c>
      <c r="E195" s="33">
        <f>17241+51724+68+4337+1149</f>
        <v>74519</v>
      </c>
      <c r="F195" s="85" t="s">
        <v>205</v>
      </c>
      <c r="G195" s="16"/>
    </row>
    <row r="196" spans="1:9" ht="45">
      <c r="A196" s="20" t="s">
        <v>129</v>
      </c>
      <c r="B196" s="83" t="s">
        <v>130</v>
      </c>
      <c r="C196" s="59"/>
      <c r="D196" s="33">
        <v>14400</v>
      </c>
      <c r="E196" s="46">
        <v>13592</v>
      </c>
      <c r="F196" s="45" t="s">
        <v>201</v>
      </c>
      <c r="G196" s="16"/>
      <c r="I196" s="16"/>
    </row>
    <row r="197" spans="1:7" ht="53.25" customHeight="1">
      <c r="A197" s="20" t="s">
        <v>131</v>
      </c>
      <c r="B197" s="14" t="s">
        <v>132</v>
      </c>
      <c r="C197" s="59"/>
      <c r="D197" s="33">
        <v>45000</v>
      </c>
      <c r="E197" s="46">
        <f>6897+7500+6395.6+6589.88+22608.3</f>
        <v>49990.78</v>
      </c>
      <c r="F197" s="85" t="s">
        <v>223</v>
      </c>
      <c r="G197" s="16"/>
    </row>
    <row r="198" spans="1:7" ht="60">
      <c r="A198" s="20" t="s">
        <v>133</v>
      </c>
      <c r="B198" s="14" t="s">
        <v>85</v>
      </c>
      <c r="C198" s="59"/>
      <c r="D198" s="33">
        <v>6000</v>
      </c>
      <c r="E198" s="46">
        <f>1725+252+3057.36+1149</f>
        <v>6183.360000000001</v>
      </c>
      <c r="F198" s="45" t="s">
        <v>206</v>
      </c>
      <c r="G198" s="16"/>
    </row>
    <row r="199" spans="1:6" ht="30">
      <c r="A199" s="20" t="s">
        <v>134</v>
      </c>
      <c r="B199" s="14" t="s">
        <v>86</v>
      </c>
      <c r="C199" s="59"/>
      <c r="D199" s="33">
        <v>76000</v>
      </c>
      <c r="E199" s="46">
        <v>69722.74</v>
      </c>
      <c r="F199" s="35"/>
    </row>
    <row r="200" spans="1:7" ht="30">
      <c r="A200" s="20" t="s">
        <v>135</v>
      </c>
      <c r="B200" s="14" t="s">
        <v>136</v>
      </c>
      <c r="C200" s="59"/>
      <c r="D200" s="33">
        <v>12000</v>
      </c>
      <c r="E200" s="46">
        <f>19195.58+156</f>
        <v>19351.58</v>
      </c>
      <c r="F200" s="35" t="s">
        <v>230</v>
      </c>
      <c r="G200" s="16"/>
    </row>
    <row r="201" spans="1:6" ht="15">
      <c r="A201" s="84" t="s">
        <v>137</v>
      </c>
      <c r="B201" s="22" t="s">
        <v>72</v>
      </c>
      <c r="C201" s="57"/>
      <c r="D201" s="37">
        <f>SUM(D202:D204)</f>
        <v>168630</v>
      </c>
      <c r="E201" s="37">
        <f>SUM(E202:E204)</f>
        <v>329376.95</v>
      </c>
      <c r="F201" s="19">
        <f>D201-E201</f>
        <v>-160746.95</v>
      </c>
    </row>
    <row r="202" spans="1:7" ht="45">
      <c r="A202" s="20" t="s">
        <v>138</v>
      </c>
      <c r="B202" s="14" t="s">
        <v>139</v>
      </c>
      <c r="C202" s="59"/>
      <c r="D202" s="47">
        <v>154230</v>
      </c>
      <c r="E202" s="48">
        <f>154230+80000+30000+38490</f>
        <v>302720</v>
      </c>
      <c r="F202" s="86" t="s">
        <v>231</v>
      </c>
      <c r="G202" s="16"/>
    </row>
    <row r="203" spans="1:7" ht="45">
      <c r="A203" s="20" t="s">
        <v>140</v>
      </c>
      <c r="B203" s="14" t="s">
        <v>141</v>
      </c>
      <c r="C203" s="59"/>
      <c r="D203" s="47">
        <v>2400</v>
      </c>
      <c r="E203" s="48"/>
      <c r="F203" s="25"/>
      <c r="G203" s="16"/>
    </row>
    <row r="204" spans="1:7" ht="75">
      <c r="A204" s="20" t="s">
        <v>142</v>
      </c>
      <c r="B204" s="14" t="s">
        <v>143</v>
      </c>
      <c r="C204" s="59"/>
      <c r="D204" s="47">
        <v>12000</v>
      </c>
      <c r="E204" s="48">
        <f>3958.87+474+1511+9866.76+10846.32</f>
        <v>26656.95</v>
      </c>
      <c r="F204" s="25" t="s">
        <v>225</v>
      </c>
      <c r="G204" s="16"/>
    </row>
    <row r="205" spans="1:7" ht="15">
      <c r="A205" s="84" t="s">
        <v>144</v>
      </c>
      <c r="B205" s="22" t="s">
        <v>73</v>
      </c>
      <c r="C205" s="57"/>
      <c r="D205" s="49">
        <f>SUM(D206:D213)</f>
        <v>172800</v>
      </c>
      <c r="E205" s="49">
        <f>SUM(E206:E214)</f>
        <v>30724.7</v>
      </c>
      <c r="F205" s="19">
        <f aca="true" t="shared" si="1" ref="F205:F228">D205-E205</f>
        <v>142075.3</v>
      </c>
      <c r="G205" s="16"/>
    </row>
    <row r="206" spans="1:7" ht="15">
      <c r="A206" s="20" t="s">
        <v>145</v>
      </c>
      <c r="B206" s="14" t="s">
        <v>87</v>
      </c>
      <c r="C206" s="59"/>
      <c r="D206" s="47">
        <v>60000</v>
      </c>
      <c r="E206" s="48">
        <f>3161+4400</f>
        <v>7561</v>
      </c>
      <c r="F206" s="13">
        <f t="shared" si="1"/>
        <v>52439</v>
      </c>
      <c r="G206" s="16"/>
    </row>
    <row r="207" spans="1:6" ht="30">
      <c r="A207" s="20" t="s">
        <v>146</v>
      </c>
      <c r="B207" s="14" t="s">
        <v>147</v>
      </c>
      <c r="C207" s="59"/>
      <c r="D207" s="47">
        <v>57000</v>
      </c>
      <c r="E207" s="48">
        <v>16000</v>
      </c>
      <c r="F207" s="13">
        <f t="shared" si="1"/>
        <v>41000</v>
      </c>
    </row>
    <row r="208" spans="1:9" ht="30">
      <c r="A208" s="20" t="s">
        <v>148</v>
      </c>
      <c r="B208" s="14" t="s">
        <v>149</v>
      </c>
      <c r="C208" s="59"/>
      <c r="D208" s="47">
        <v>12000</v>
      </c>
      <c r="E208" s="48">
        <f>1613+130.7+5120</f>
        <v>6863.7</v>
      </c>
      <c r="F208" s="13">
        <f t="shared" si="1"/>
        <v>5136.3</v>
      </c>
      <c r="G208" s="16"/>
      <c r="I208" s="16"/>
    </row>
    <row r="209" spans="1:7" ht="30">
      <c r="A209" s="20" t="s">
        <v>150</v>
      </c>
      <c r="B209" s="14" t="s">
        <v>74</v>
      </c>
      <c r="C209" s="59"/>
      <c r="D209" s="47">
        <v>6000</v>
      </c>
      <c r="E209" s="48"/>
      <c r="F209" s="13">
        <f t="shared" si="1"/>
        <v>6000</v>
      </c>
      <c r="G209" s="16"/>
    </row>
    <row r="210" spans="1:6" ht="30">
      <c r="A210" s="20" t="s">
        <v>151</v>
      </c>
      <c r="B210" s="14" t="s">
        <v>185</v>
      </c>
      <c r="C210" s="59"/>
      <c r="D210" s="47">
        <v>1800</v>
      </c>
      <c r="E210" s="48"/>
      <c r="F210" s="13">
        <f t="shared" si="1"/>
        <v>1800</v>
      </c>
    </row>
    <row r="211" spans="1:6" ht="15">
      <c r="A211" s="20" t="s">
        <v>152</v>
      </c>
      <c r="B211" s="14" t="s">
        <v>106</v>
      </c>
      <c r="C211" s="59"/>
      <c r="D211" s="47">
        <v>24000</v>
      </c>
      <c r="E211" s="48"/>
      <c r="F211" s="13">
        <f t="shared" si="1"/>
        <v>24000</v>
      </c>
    </row>
    <row r="212" spans="1:9" ht="30">
      <c r="A212" s="20" t="s">
        <v>153</v>
      </c>
      <c r="B212" s="14" t="s">
        <v>75</v>
      </c>
      <c r="C212" s="59"/>
      <c r="D212" s="47">
        <v>9000</v>
      </c>
      <c r="E212" s="48"/>
      <c r="F212" s="13">
        <f t="shared" si="1"/>
        <v>9000</v>
      </c>
      <c r="G212" s="26"/>
      <c r="I212" s="16"/>
    </row>
    <row r="213" spans="1:7" ht="15">
      <c r="A213" s="20" t="s">
        <v>154</v>
      </c>
      <c r="B213" s="14" t="s">
        <v>88</v>
      </c>
      <c r="C213" s="59"/>
      <c r="D213" s="47">
        <v>3000</v>
      </c>
      <c r="E213" s="48">
        <v>300</v>
      </c>
      <c r="F213" s="13">
        <f t="shared" si="1"/>
        <v>2700</v>
      </c>
      <c r="G213" s="16"/>
    </row>
    <row r="214" spans="1:7" ht="15">
      <c r="A214" s="20" t="s">
        <v>155</v>
      </c>
      <c r="B214" s="14" t="s">
        <v>156</v>
      </c>
      <c r="C214" s="59"/>
      <c r="D214" s="47">
        <v>5000</v>
      </c>
      <c r="E214" s="48"/>
      <c r="F214" s="13">
        <f t="shared" si="1"/>
        <v>5000</v>
      </c>
      <c r="G214" s="16"/>
    </row>
    <row r="215" spans="1:6" ht="15">
      <c r="A215" s="84" t="s">
        <v>157</v>
      </c>
      <c r="B215" s="22" t="s">
        <v>76</v>
      </c>
      <c r="C215" s="57"/>
      <c r="D215" s="49">
        <f>SUM(D216:D225)</f>
        <v>107640</v>
      </c>
      <c r="E215" s="49">
        <f>SUM(E216:E226)</f>
        <v>108554.90000000001</v>
      </c>
      <c r="F215" s="19">
        <f t="shared" si="1"/>
        <v>-914.9000000000087</v>
      </c>
    </row>
    <row r="216" spans="1:12" ht="45">
      <c r="A216" s="20" t="s">
        <v>158</v>
      </c>
      <c r="B216" s="14" t="s">
        <v>89</v>
      </c>
      <c r="C216" s="59"/>
      <c r="D216" s="47">
        <v>72000</v>
      </c>
      <c r="E216" s="50">
        <f>58800+39350</f>
        <v>98150</v>
      </c>
      <c r="F216" s="13" t="s">
        <v>203</v>
      </c>
      <c r="I216" s="16"/>
      <c r="L216" s="16"/>
    </row>
    <row r="217" spans="1:10" ht="28.5" customHeight="1">
      <c r="A217" s="20" t="s">
        <v>159</v>
      </c>
      <c r="B217" s="14" t="s">
        <v>90</v>
      </c>
      <c r="C217" s="59"/>
      <c r="D217" s="47">
        <v>7200</v>
      </c>
      <c r="E217" s="48">
        <v>5000</v>
      </c>
      <c r="F217" s="13" t="s">
        <v>217</v>
      </c>
      <c r="G217" s="16"/>
      <c r="H217" s="16"/>
      <c r="J217" s="16"/>
    </row>
    <row r="218" spans="1:10" ht="15">
      <c r="A218" s="20" t="s">
        <v>160</v>
      </c>
      <c r="B218" s="14" t="s">
        <v>91</v>
      </c>
      <c r="C218" s="59"/>
      <c r="D218" s="47">
        <v>5000</v>
      </c>
      <c r="E218" s="48">
        <v>4200</v>
      </c>
      <c r="F218" s="13"/>
      <c r="H218" s="16"/>
      <c r="J218" s="16"/>
    </row>
    <row r="219" spans="1:10" ht="15">
      <c r="A219" s="20" t="s">
        <v>161</v>
      </c>
      <c r="B219" s="14" t="s">
        <v>92</v>
      </c>
      <c r="C219" s="59"/>
      <c r="D219" s="47">
        <v>1800</v>
      </c>
      <c r="E219" s="48"/>
      <c r="F219" s="13"/>
      <c r="G219" s="16"/>
      <c r="J219" s="16"/>
    </row>
    <row r="220" spans="1:6" ht="60">
      <c r="A220" s="20" t="s">
        <v>163</v>
      </c>
      <c r="B220" s="14" t="s">
        <v>93</v>
      </c>
      <c r="C220" s="59"/>
      <c r="D220" s="47">
        <v>3600</v>
      </c>
      <c r="E220" s="48"/>
      <c r="F220" s="13"/>
    </row>
    <row r="221" spans="1:7" ht="15">
      <c r="A221" s="20" t="s">
        <v>164</v>
      </c>
      <c r="B221" s="14" t="s">
        <v>94</v>
      </c>
      <c r="C221" s="59"/>
      <c r="D221" s="47">
        <v>3000</v>
      </c>
      <c r="E221" s="48"/>
      <c r="F221" s="13"/>
      <c r="G221" s="16"/>
    </row>
    <row r="222" spans="1:8" ht="45">
      <c r="A222" s="20" t="s">
        <v>165</v>
      </c>
      <c r="B222" s="14" t="s">
        <v>98</v>
      </c>
      <c r="C222" s="59"/>
      <c r="D222" s="47">
        <v>3600</v>
      </c>
      <c r="E222" s="48">
        <f>691.3+59.8</f>
        <v>751.0999999999999</v>
      </c>
      <c r="F222" s="13" t="s">
        <v>211</v>
      </c>
      <c r="H222" s="16"/>
    </row>
    <row r="223" spans="1:6" ht="15">
      <c r="A223" s="20" t="s">
        <v>166</v>
      </c>
      <c r="B223" s="14" t="s">
        <v>78</v>
      </c>
      <c r="C223" s="59"/>
      <c r="D223" s="47">
        <v>960</v>
      </c>
      <c r="E223" s="48"/>
      <c r="F223" s="25"/>
    </row>
    <row r="224" spans="1:6" ht="15">
      <c r="A224" s="20" t="s">
        <v>167</v>
      </c>
      <c r="B224" s="14" t="s">
        <v>79</v>
      </c>
      <c r="C224" s="59"/>
      <c r="D224" s="47">
        <v>480</v>
      </c>
      <c r="E224" s="48">
        <v>453.8</v>
      </c>
      <c r="F224" s="13" t="s">
        <v>210</v>
      </c>
    </row>
    <row r="225" spans="1:6" ht="15">
      <c r="A225" s="20" t="s">
        <v>168</v>
      </c>
      <c r="B225" s="14" t="s">
        <v>162</v>
      </c>
      <c r="C225" s="59"/>
      <c r="D225" s="47">
        <v>10000</v>
      </c>
      <c r="E225" s="48"/>
      <c r="F225" s="13"/>
    </row>
    <row r="226" spans="1:6" ht="15">
      <c r="A226" s="20" t="s">
        <v>169</v>
      </c>
      <c r="B226" s="14" t="s">
        <v>77</v>
      </c>
      <c r="C226" s="59"/>
      <c r="D226" s="47">
        <v>4500</v>
      </c>
      <c r="E226" s="48"/>
      <c r="F226" s="13"/>
    </row>
    <row r="227" spans="1:6" ht="26.25">
      <c r="A227" s="84" t="s">
        <v>170</v>
      </c>
      <c r="B227" s="22" t="s">
        <v>95</v>
      </c>
      <c r="C227" s="57"/>
      <c r="D227" s="49">
        <v>24000</v>
      </c>
      <c r="E227" s="49">
        <f>4598+5568.9</f>
        <v>10166.9</v>
      </c>
      <c r="F227" s="19">
        <f t="shared" si="1"/>
        <v>13833.1</v>
      </c>
    </row>
    <row r="228" spans="1:6" ht="15">
      <c r="A228" s="84" t="s">
        <v>171</v>
      </c>
      <c r="B228" s="22" t="s">
        <v>80</v>
      </c>
      <c r="C228" s="57"/>
      <c r="D228" s="49">
        <v>61900</v>
      </c>
      <c r="E228" s="49">
        <f>SUM(E229:E240)</f>
        <v>690614.8400000001</v>
      </c>
      <c r="F228" s="19">
        <f t="shared" si="1"/>
        <v>-628714.8400000001</v>
      </c>
    </row>
    <row r="229" spans="1:6" ht="15">
      <c r="A229" s="2"/>
      <c r="B229" s="2" t="s">
        <v>232</v>
      </c>
      <c r="C229" s="35"/>
      <c r="D229" s="47"/>
      <c r="E229" s="50">
        <f>4149+2144.99+12650+61573.26+6188.49</f>
        <v>86705.74</v>
      </c>
      <c r="F229" s="2"/>
    </row>
    <row r="230" spans="1:6" ht="15">
      <c r="A230" s="2"/>
      <c r="B230" s="2" t="s">
        <v>187</v>
      </c>
      <c r="C230" s="35"/>
      <c r="D230" s="47"/>
      <c r="E230" s="50">
        <v>5132.16</v>
      </c>
      <c r="F230" s="2"/>
    </row>
    <row r="231" spans="1:6" ht="15">
      <c r="A231" s="2"/>
      <c r="B231" s="2" t="s">
        <v>233</v>
      </c>
      <c r="C231" s="35"/>
      <c r="D231" s="47"/>
      <c r="E231" s="50">
        <f>26291.29+24291.29+58519.17</f>
        <v>109101.75</v>
      </c>
      <c r="F231" s="2"/>
    </row>
    <row r="232" spans="1:6" ht="13.5" customHeight="1">
      <c r="A232" s="2"/>
      <c r="B232" s="2" t="s">
        <v>189</v>
      </c>
      <c r="C232" s="35"/>
      <c r="D232" s="47"/>
      <c r="E232" s="50">
        <v>1.07</v>
      </c>
      <c r="F232" s="2"/>
    </row>
    <row r="233" spans="1:6" ht="15">
      <c r="A233" s="2"/>
      <c r="B233" s="21" t="s">
        <v>220</v>
      </c>
      <c r="C233" s="56"/>
      <c r="D233" s="48"/>
      <c r="E233" s="48">
        <f>3000+6911</f>
        <v>9911</v>
      </c>
      <c r="F233" s="2"/>
    </row>
    <row r="234" spans="1:6" ht="15">
      <c r="A234" s="2"/>
      <c r="B234" s="2" t="s">
        <v>234</v>
      </c>
      <c r="C234" s="35"/>
      <c r="D234" s="47"/>
      <c r="E234" s="47">
        <v>479763.12</v>
      </c>
      <c r="F234" s="2"/>
    </row>
    <row r="235" spans="1:6" ht="15">
      <c r="A235" s="2"/>
      <c r="B235" s="2"/>
      <c r="C235" s="35"/>
      <c r="D235" s="47"/>
      <c r="E235" s="50"/>
      <c r="F235" s="2"/>
    </row>
    <row r="236" spans="1:6" ht="15">
      <c r="A236" s="2"/>
      <c r="B236" s="2"/>
      <c r="C236" s="35"/>
      <c r="D236" s="47"/>
      <c r="E236" s="50"/>
      <c r="F236" s="2"/>
    </row>
    <row r="237" spans="1:6" ht="15">
      <c r="A237" s="2"/>
      <c r="B237" s="2"/>
      <c r="C237" s="35"/>
      <c r="D237" s="47"/>
      <c r="E237" s="50"/>
      <c r="F237" s="2"/>
    </row>
    <row r="238" spans="1:6" ht="15">
      <c r="A238" s="2"/>
      <c r="B238" s="2"/>
      <c r="C238" s="35"/>
      <c r="D238" s="47"/>
      <c r="E238" s="50"/>
      <c r="F238" s="2"/>
    </row>
    <row r="239" spans="1:6" ht="15">
      <c r="A239" s="2"/>
      <c r="B239" s="2"/>
      <c r="C239" s="35"/>
      <c r="D239" s="47"/>
      <c r="E239" s="51"/>
      <c r="F239" s="2"/>
    </row>
    <row r="240" spans="1:6" ht="15">
      <c r="A240" s="2"/>
      <c r="B240" s="2"/>
      <c r="C240" s="35"/>
      <c r="D240" s="47"/>
      <c r="E240" s="51"/>
      <c r="F240" s="2"/>
    </row>
    <row r="241" spans="1:6" ht="15">
      <c r="A241" s="4"/>
      <c r="B241" s="4" t="s">
        <v>81</v>
      </c>
      <c r="C241" s="30"/>
      <c r="D241" s="52"/>
      <c r="E241" s="52">
        <f>E228+E227+E215+E205+E201+E192+E173+E172+E171+E158+E145+E132+E98+E85+E82+E69+E42+E29+E16+E174+E175+E56+E55</f>
        <v>3543856.25</v>
      </c>
      <c r="F241" s="4"/>
    </row>
    <row r="242" spans="1:6" ht="18">
      <c r="A242" s="2"/>
      <c r="B242" s="27" t="s">
        <v>8</v>
      </c>
      <c r="C242" s="35"/>
      <c r="D242" s="53"/>
      <c r="E242" s="54">
        <f>SUM(E241:E241)</f>
        <v>3543856.25</v>
      </c>
      <c r="F242" s="2"/>
    </row>
    <row r="243" ht="15">
      <c r="F243" s="28"/>
    </row>
    <row r="244" spans="2:6" ht="15">
      <c r="B244" t="s">
        <v>82</v>
      </c>
      <c r="F244">
        <v>9324.19</v>
      </c>
    </row>
    <row r="245" spans="5:6" ht="15">
      <c r="E245" s="61"/>
      <c r="F245" s="28"/>
    </row>
    <row r="246" ht="15">
      <c r="F246" s="28"/>
    </row>
    <row r="247" spans="2:6" ht="15">
      <c r="B247" t="s">
        <v>83</v>
      </c>
      <c r="F247" s="28" t="s">
        <v>102</v>
      </c>
    </row>
    <row r="248" ht="15">
      <c r="F248" s="28"/>
    </row>
    <row r="249" ht="15">
      <c r="F249" s="28"/>
    </row>
    <row r="250" spans="5:6" ht="15">
      <c r="E250" s="61"/>
      <c r="F250" s="28"/>
    </row>
    <row r="251" ht="15">
      <c r="F251" s="28"/>
    </row>
    <row r="252" ht="15">
      <c r="F252" s="28"/>
    </row>
    <row r="253" ht="15">
      <c r="F253" s="28"/>
    </row>
    <row r="254" ht="15">
      <c r="F254" s="28"/>
    </row>
    <row r="255" ht="15">
      <c r="F255" s="28"/>
    </row>
    <row r="256" ht="15">
      <c r="F256" s="28"/>
    </row>
    <row r="257" ht="15">
      <c r="F257" s="28"/>
    </row>
    <row r="258" ht="15">
      <c r="F258" s="28"/>
    </row>
    <row r="259" ht="15">
      <c r="F259" s="28"/>
    </row>
    <row r="260" ht="15">
      <c r="F260" s="28"/>
    </row>
    <row r="261" ht="15">
      <c r="F261" s="28"/>
    </row>
    <row r="262" ht="15">
      <c r="F262" s="28"/>
    </row>
    <row r="263" ht="15">
      <c r="F263" s="28"/>
    </row>
    <row r="264" ht="15">
      <c r="F264" s="28"/>
    </row>
    <row r="265" ht="15">
      <c r="F265" s="28"/>
    </row>
    <row r="266" ht="15">
      <c r="F266" s="28"/>
    </row>
    <row r="267" ht="15">
      <c r="F267" s="28"/>
    </row>
    <row r="268" ht="15">
      <c r="F268" s="28"/>
    </row>
    <row r="269" ht="15">
      <c r="F269" s="28"/>
    </row>
    <row r="270" ht="15">
      <c r="F270" s="28"/>
    </row>
    <row r="271" ht="15">
      <c r="F271" s="28"/>
    </row>
    <row r="272" ht="15">
      <c r="F272" s="28"/>
    </row>
    <row r="273" ht="15">
      <c r="F273" s="28"/>
    </row>
    <row r="274" ht="15">
      <c r="F274" s="28"/>
    </row>
    <row r="275" ht="15">
      <c r="F275" s="28"/>
    </row>
    <row r="276" ht="15">
      <c r="F276" s="28"/>
    </row>
    <row r="277" ht="15">
      <c r="F277" s="28"/>
    </row>
    <row r="278" ht="15">
      <c r="F278" s="28"/>
    </row>
    <row r="279" ht="15">
      <c r="F279" s="28"/>
    </row>
    <row r="280" ht="15">
      <c r="F280" s="28"/>
    </row>
    <row r="281" ht="15">
      <c r="F281" s="28"/>
    </row>
    <row r="282" ht="15">
      <c r="F282" s="28"/>
    </row>
    <row r="283" ht="15">
      <c r="F283" s="28"/>
    </row>
    <row r="284" ht="15">
      <c r="F284" s="28"/>
    </row>
    <row r="285" ht="15">
      <c r="F285" s="28"/>
    </row>
    <row r="286" ht="15">
      <c r="F286" s="28"/>
    </row>
    <row r="287" ht="15">
      <c r="F287" s="28"/>
    </row>
    <row r="288" ht="15">
      <c r="F288" s="28"/>
    </row>
    <row r="289" ht="15">
      <c r="F289" s="28"/>
    </row>
    <row r="290" ht="15">
      <c r="F290" s="28"/>
    </row>
    <row r="291" ht="15">
      <c r="F291" s="28"/>
    </row>
    <row r="292" ht="15">
      <c r="F292" s="28"/>
    </row>
    <row r="293" ht="15">
      <c r="F293" s="28"/>
    </row>
    <row r="294" ht="15">
      <c r="F294" s="28"/>
    </row>
    <row r="295" ht="15">
      <c r="F295" s="28"/>
    </row>
    <row r="296" ht="15">
      <c r="F296" s="28"/>
    </row>
    <row r="297" ht="15">
      <c r="F297" s="28"/>
    </row>
    <row r="298" ht="15">
      <c r="F298" s="28"/>
    </row>
    <row r="299" ht="15">
      <c r="F299" s="28"/>
    </row>
    <row r="300" ht="15">
      <c r="F300" s="28"/>
    </row>
    <row r="301" ht="15">
      <c r="F301" s="28"/>
    </row>
    <row r="302" ht="15">
      <c r="F302" s="28"/>
    </row>
    <row r="303" ht="15">
      <c r="F303" s="28"/>
    </row>
    <row r="304" ht="15">
      <c r="F304" s="28"/>
    </row>
    <row r="305" ht="15">
      <c r="F305" s="28"/>
    </row>
    <row r="306" ht="15">
      <c r="F306" s="28"/>
    </row>
    <row r="307" ht="15">
      <c r="F307" s="28"/>
    </row>
    <row r="308" ht="15">
      <c r="F308" s="28"/>
    </row>
    <row r="309" ht="15">
      <c r="F309" s="28"/>
    </row>
    <row r="310" ht="15">
      <c r="F310" s="28"/>
    </row>
    <row r="311" ht="15">
      <c r="F311" s="28"/>
    </row>
    <row r="312" ht="15">
      <c r="F312" s="28"/>
    </row>
    <row r="313" ht="15">
      <c r="F313" s="28"/>
    </row>
    <row r="314" ht="15">
      <c r="F314" s="28"/>
    </row>
    <row r="315" ht="15">
      <c r="F315" s="28"/>
    </row>
    <row r="316" ht="15">
      <c r="F316" s="28"/>
    </row>
    <row r="317" ht="15">
      <c r="F317" s="28"/>
    </row>
    <row r="318" ht="15">
      <c r="F318" s="28"/>
    </row>
    <row r="319" ht="15">
      <c r="F319" s="28"/>
    </row>
    <row r="320" ht="15">
      <c r="F320" s="28"/>
    </row>
    <row r="321" ht="15">
      <c r="F321" s="28"/>
    </row>
    <row r="322" ht="15">
      <c r="F322" s="28"/>
    </row>
    <row r="323" ht="15">
      <c r="F323" s="28"/>
    </row>
    <row r="324" ht="15">
      <c r="F324" s="28"/>
    </row>
    <row r="325" ht="15">
      <c r="F325" s="28"/>
    </row>
    <row r="326" ht="15">
      <c r="F326" s="28"/>
    </row>
    <row r="327" ht="15">
      <c r="F327" s="28"/>
    </row>
    <row r="328" ht="15">
      <c r="F328" s="28"/>
    </row>
    <row r="329" ht="15">
      <c r="F329" s="28"/>
    </row>
    <row r="330" ht="15">
      <c r="F330" s="28"/>
    </row>
    <row r="331" ht="15">
      <c r="F331" s="28"/>
    </row>
    <row r="332" ht="15">
      <c r="F332" s="28"/>
    </row>
    <row r="333" ht="15">
      <c r="F333" s="28"/>
    </row>
    <row r="334" ht="15">
      <c r="F334" s="28"/>
    </row>
    <row r="335" ht="15">
      <c r="F335" s="28"/>
    </row>
    <row r="336" ht="15">
      <c r="F336" s="28"/>
    </row>
    <row r="337" ht="15">
      <c r="F337" s="28"/>
    </row>
    <row r="338" ht="15">
      <c r="F338" s="28"/>
    </row>
    <row r="339" ht="15">
      <c r="F339" s="28"/>
    </row>
    <row r="340" ht="15">
      <c r="F340" s="28"/>
    </row>
    <row r="341" ht="15">
      <c r="F341" s="28"/>
    </row>
    <row r="342" ht="15">
      <c r="F342" s="28"/>
    </row>
    <row r="343" ht="15">
      <c r="F343" s="28"/>
    </row>
    <row r="344" ht="15">
      <c r="F344" s="28"/>
    </row>
    <row r="345" ht="15">
      <c r="F345" s="28"/>
    </row>
    <row r="346" ht="15">
      <c r="F346" s="28"/>
    </row>
    <row r="347" ht="15">
      <c r="F347" s="28"/>
    </row>
    <row r="348" ht="15">
      <c r="F348" s="28"/>
    </row>
    <row r="349" ht="15">
      <c r="F349" s="28"/>
    </row>
    <row r="350" ht="15">
      <c r="F350" s="28"/>
    </row>
    <row r="351" ht="15">
      <c r="F351" s="28"/>
    </row>
    <row r="352" ht="15">
      <c r="F352" s="28"/>
    </row>
    <row r="353" ht="15">
      <c r="F353" s="28"/>
    </row>
    <row r="354" ht="15">
      <c r="F354" s="28"/>
    </row>
    <row r="355" ht="15">
      <c r="F355" s="28"/>
    </row>
    <row r="356" ht="15">
      <c r="F356" s="28"/>
    </row>
    <row r="357" ht="15">
      <c r="F357" s="28"/>
    </row>
    <row r="358" ht="15">
      <c r="F358" s="28"/>
    </row>
    <row r="359" ht="15">
      <c r="F359" s="28"/>
    </row>
    <row r="360" ht="15">
      <c r="F360" s="28"/>
    </row>
    <row r="361" ht="15">
      <c r="F361" s="28"/>
    </row>
    <row r="362" ht="15">
      <c r="F362" s="28"/>
    </row>
    <row r="363" ht="15">
      <c r="F363" s="28"/>
    </row>
    <row r="364" ht="15">
      <c r="F364" s="28"/>
    </row>
    <row r="365" ht="15">
      <c r="F365" s="28"/>
    </row>
    <row r="366" ht="15">
      <c r="F366" s="28"/>
    </row>
    <row r="367" ht="15">
      <c r="F367" s="28"/>
    </row>
    <row r="368" ht="15">
      <c r="F368" s="28"/>
    </row>
    <row r="369" ht="15">
      <c r="F369" s="28"/>
    </row>
    <row r="370" ht="15">
      <c r="F370" s="28"/>
    </row>
    <row r="371" ht="15">
      <c r="F371" s="28"/>
    </row>
    <row r="372" ht="15">
      <c r="F372" s="28"/>
    </row>
    <row r="373" ht="15">
      <c r="F373" s="28"/>
    </row>
    <row r="374" ht="15">
      <c r="F374" s="28"/>
    </row>
    <row r="375" ht="15">
      <c r="F375" s="28"/>
    </row>
    <row r="376" ht="15">
      <c r="F376" s="28"/>
    </row>
    <row r="377" ht="15">
      <c r="F377" s="28"/>
    </row>
    <row r="378" ht="15">
      <c r="F378" s="28"/>
    </row>
    <row r="379" ht="15">
      <c r="F379" s="28"/>
    </row>
    <row r="380" ht="15">
      <c r="F380" s="28"/>
    </row>
    <row r="381" ht="15">
      <c r="F381" s="28"/>
    </row>
    <row r="382" ht="15">
      <c r="F382" s="28"/>
    </row>
    <row r="383" ht="15">
      <c r="F383" s="28"/>
    </row>
    <row r="384" ht="15">
      <c r="F384" s="28"/>
    </row>
    <row r="385" ht="15">
      <c r="F385" s="28"/>
    </row>
    <row r="386" ht="15">
      <c r="F386" s="28"/>
    </row>
    <row r="387" ht="15">
      <c r="F387" s="28"/>
    </row>
    <row r="388" ht="15">
      <c r="F388" s="28"/>
    </row>
    <row r="389" ht="15">
      <c r="F389" s="28"/>
    </row>
    <row r="390" ht="15">
      <c r="F390" s="28"/>
    </row>
    <row r="391" ht="15">
      <c r="F391" s="28"/>
    </row>
    <row r="392" ht="15">
      <c r="F392" s="28"/>
    </row>
    <row r="393" ht="15">
      <c r="F393" s="28"/>
    </row>
    <row r="394" ht="15">
      <c r="F394" s="28"/>
    </row>
    <row r="395" ht="15">
      <c r="F395" s="28"/>
    </row>
    <row r="396" ht="15">
      <c r="F396" s="28"/>
    </row>
    <row r="397" ht="15">
      <c r="F397" s="28"/>
    </row>
    <row r="398" ht="15">
      <c r="F398" s="28"/>
    </row>
    <row r="399" ht="15">
      <c r="F399" s="28"/>
    </row>
  </sheetData>
  <sheetProtection/>
  <mergeCells count="3">
    <mergeCell ref="A1:F1"/>
    <mergeCell ref="A2:B2"/>
    <mergeCell ref="D2:F2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</cp:lastModifiedBy>
  <cp:lastPrinted>2015-02-16T12:16:12Z</cp:lastPrinted>
  <dcterms:created xsi:type="dcterms:W3CDTF">2013-07-31T08:55:04Z</dcterms:created>
  <dcterms:modified xsi:type="dcterms:W3CDTF">2015-04-07T07:55:12Z</dcterms:modified>
  <cp:category/>
  <cp:version/>
  <cp:contentType/>
  <cp:contentStatus/>
</cp:coreProperties>
</file>